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Drive partagés\Fincome - General\4. Product\5. Features\8. MCP\1. Exemples analyses\FR\"/>
    </mc:Choice>
  </mc:AlternateContent>
  <xr:revisionPtr revIDLastSave="0" documentId="13_ncr:1_{A7EC73F1-E33C-4284-BEA8-568AE1364F7A}" xr6:coauthVersionLast="47" xr6:coauthVersionMax="47" xr10:uidLastSave="{00000000-0000-0000-0000-000000000000}"/>
  <bookViews>
    <workbookView xWindow="-28920" yWindow="3885" windowWidth="29040" windowHeight="15720" tabRatio="731" xr2:uid="{00000000-000D-0000-FFFF-FFFF00000000}"/>
  </bookViews>
  <sheets>
    <sheet name="Lisez-moi" sheetId="1" r:id="rId1"/>
    <sheet name="Hypothèses" sheetId="2" r:id="rId2"/>
    <sheet name="Synthèse" sheetId="3" r:id="rId3"/>
    <sheet name="Sensibilités" sheetId="4" r:id="rId4"/>
    <sheet name="Segments" sheetId="5" r:id="rId5"/>
    <sheet name="Contrôles" sheetId="6" r:id="rId6"/>
    <sheet name="Projection" sheetId="7" r:id="rId7"/>
    <sheet name="Données ARR" sheetId="8" r:id="rId8"/>
    <sheet name="Données segments" sheetId="9" r:id="rId9"/>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139" i="9" l="1"/>
  <c r="E139" i="9"/>
  <c r="D139" i="9"/>
  <c r="C139" i="9"/>
  <c r="B139" i="9"/>
  <c r="G131" i="9"/>
  <c r="G130" i="9"/>
  <c r="G129" i="9"/>
  <c r="G128" i="9"/>
  <c r="H127" i="9"/>
  <c r="I127" i="9" s="1"/>
  <c r="G127" i="9"/>
  <c r="H126" i="9"/>
  <c r="I126" i="9" s="1"/>
  <c r="G126" i="9"/>
  <c r="G125" i="9"/>
  <c r="G124" i="9"/>
  <c r="G119" i="9"/>
  <c r="G118" i="9"/>
  <c r="G192" i="5" s="1"/>
  <c r="G117" i="9"/>
  <c r="G116" i="9"/>
  <c r="G115" i="9"/>
  <c r="G114" i="9"/>
  <c r="G113" i="9"/>
  <c r="G112" i="9"/>
  <c r="G111" i="9"/>
  <c r="G110" i="9"/>
  <c r="F192" i="5" s="1"/>
  <c r="G109" i="9"/>
  <c r="G108" i="9"/>
  <c r="G107" i="9"/>
  <c r="F190" i="5" s="1"/>
  <c r="G106" i="9"/>
  <c r="G105" i="9"/>
  <c r="G104" i="9"/>
  <c r="G103" i="9"/>
  <c r="G102" i="9"/>
  <c r="G101" i="9"/>
  <c r="G100" i="9"/>
  <c r="G99" i="9"/>
  <c r="G98" i="9"/>
  <c r="D193" i="5" s="1"/>
  <c r="G97" i="9"/>
  <c r="G96" i="9"/>
  <c r="G95" i="9"/>
  <c r="G94" i="9"/>
  <c r="D189" i="5" s="1"/>
  <c r="G93" i="9"/>
  <c r="H125" i="9" s="1"/>
  <c r="G92" i="9"/>
  <c r="H124" i="9" s="1"/>
  <c r="I124" i="9" s="1"/>
  <c r="G91" i="9"/>
  <c r="C193" i="5" s="1"/>
  <c r="G90" i="9"/>
  <c r="G89" i="9"/>
  <c r="H128" i="9" s="1"/>
  <c r="I128" i="9" s="1"/>
  <c r="G88" i="9"/>
  <c r="G87" i="9"/>
  <c r="G86" i="9"/>
  <c r="G85" i="9"/>
  <c r="G80" i="9"/>
  <c r="G79" i="9"/>
  <c r="G78" i="9"/>
  <c r="G77" i="9"/>
  <c r="G76" i="9"/>
  <c r="G75" i="9"/>
  <c r="G74" i="9"/>
  <c r="H102" i="5" s="1"/>
  <c r="G73" i="9"/>
  <c r="G72" i="9"/>
  <c r="G71" i="9"/>
  <c r="G70" i="9"/>
  <c r="G69" i="9"/>
  <c r="G68" i="9"/>
  <c r="H101" i="5" s="1"/>
  <c r="G67" i="9"/>
  <c r="G66" i="9"/>
  <c r="G65" i="9"/>
  <c r="G103" i="5" s="1"/>
  <c r="G64" i="9"/>
  <c r="G63" i="9"/>
  <c r="G62" i="9"/>
  <c r="G61" i="9"/>
  <c r="G60" i="9"/>
  <c r="G59" i="9"/>
  <c r="G58" i="9"/>
  <c r="G57" i="9"/>
  <c r="G56" i="9"/>
  <c r="G55" i="9"/>
  <c r="G54" i="9"/>
  <c r="G102" i="5" s="1"/>
  <c r="G53" i="9"/>
  <c r="G52" i="9"/>
  <c r="G51" i="9"/>
  <c r="G50" i="9"/>
  <c r="G49" i="9"/>
  <c r="G48" i="9"/>
  <c r="G47" i="9"/>
  <c r="G46" i="9"/>
  <c r="G99" i="5" s="1"/>
  <c r="G45" i="9"/>
  <c r="G44" i="9"/>
  <c r="G43" i="9"/>
  <c r="G42" i="9"/>
  <c r="G41" i="9"/>
  <c r="G40" i="9"/>
  <c r="G39" i="9"/>
  <c r="G38" i="9"/>
  <c r="G37" i="9"/>
  <c r="G36" i="9"/>
  <c r="G35" i="9"/>
  <c r="G34" i="9"/>
  <c r="D102" i="5" s="1"/>
  <c r="G33" i="9"/>
  <c r="G32" i="9"/>
  <c r="G31" i="9"/>
  <c r="G30" i="9"/>
  <c r="G29" i="9"/>
  <c r="C102" i="5" s="1"/>
  <c r="G28" i="9"/>
  <c r="C101" i="5" s="1"/>
  <c r="G27" i="9"/>
  <c r="G26" i="9"/>
  <c r="C99" i="5" s="1"/>
  <c r="G21" i="9"/>
  <c r="E14" i="5" s="1"/>
  <c r="G20" i="9"/>
  <c r="G19" i="9"/>
  <c r="G18" i="9"/>
  <c r="G17" i="9"/>
  <c r="G16" i="9"/>
  <c r="G15" i="9"/>
  <c r="G14" i="9"/>
  <c r="G13" i="9"/>
  <c r="G12" i="9"/>
  <c r="G11" i="9"/>
  <c r="G10" i="9"/>
  <c r="C13" i="5" s="1"/>
  <c r="G9" i="9"/>
  <c r="G8" i="9"/>
  <c r="G7" i="9"/>
  <c r="L31" i="8"/>
  <c r="K31" i="8"/>
  <c r="M31" i="8" s="1"/>
  <c r="L30" i="8"/>
  <c r="K30" i="8"/>
  <c r="M30" i="8" s="1"/>
  <c r="L29" i="8"/>
  <c r="M29" i="8" s="1"/>
  <c r="K29" i="8"/>
  <c r="M28" i="8"/>
  <c r="L28" i="8"/>
  <c r="K28" i="8"/>
  <c r="L27" i="8"/>
  <c r="M27" i="8" s="1"/>
  <c r="K27" i="8"/>
  <c r="L26" i="8"/>
  <c r="M26" i="8" s="1"/>
  <c r="K26" i="8"/>
  <c r="L25" i="8"/>
  <c r="K25" i="8"/>
  <c r="M25" i="8" s="1"/>
  <c r="L24" i="8"/>
  <c r="K24" i="8"/>
  <c r="M24" i="8" s="1"/>
  <c r="L23" i="8"/>
  <c r="M23" i="8" s="1"/>
  <c r="K23" i="8"/>
  <c r="M22" i="8"/>
  <c r="L22" i="8"/>
  <c r="K22" i="8"/>
  <c r="M21" i="8"/>
  <c r="L21" i="8"/>
  <c r="K21" i="8"/>
  <c r="AR20" i="8"/>
  <c r="AQ20" i="8"/>
  <c r="AH20" i="8"/>
  <c r="AI20" i="8" s="1"/>
  <c r="S20" i="8"/>
  <c r="T20" i="8" s="1"/>
  <c r="M20" i="8"/>
  <c r="L20" i="8"/>
  <c r="K20" i="8"/>
  <c r="AR19" i="8"/>
  <c r="AQ19" i="8"/>
  <c r="AH19" i="8"/>
  <c r="AI19" i="8" s="1"/>
  <c r="T19" i="8"/>
  <c r="S19" i="8"/>
  <c r="L19" i="8"/>
  <c r="K19" i="8"/>
  <c r="M19" i="8" s="1"/>
  <c r="AR18" i="8"/>
  <c r="AQ18" i="8"/>
  <c r="AI18" i="8"/>
  <c r="AH18" i="8"/>
  <c r="S18" i="8"/>
  <c r="T18" i="8" s="1"/>
  <c r="L18" i="8"/>
  <c r="K18" i="8"/>
  <c r="AR17" i="8"/>
  <c r="AQ17" i="8"/>
  <c r="AH17" i="8"/>
  <c r="AI17" i="8" s="1"/>
  <c r="T17" i="8"/>
  <c r="S17" i="8"/>
  <c r="L17" i="8"/>
  <c r="M17" i="8" s="1"/>
  <c r="K17" i="8"/>
  <c r="AR16" i="8"/>
  <c r="AQ16" i="8"/>
  <c r="AI16" i="8"/>
  <c r="AH16" i="8"/>
  <c r="T16" i="8"/>
  <c r="S16" i="8"/>
  <c r="M16" i="8"/>
  <c r="L16" i="8"/>
  <c r="K16" i="8"/>
  <c r="AR15" i="8"/>
  <c r="AQ15" i="8"/>
  <c r="AI15" i="8"/>
  <c r="AH15" i="8"/>
  <c r="S15" i="8"/>
  <c r="T15" i="8" s="1"/>
  <c r="M15" i="8"/>
  <c r="L15" i="8"/>
  <c r="K15" i="8"/>
  <c r="AR14" i="8"/>
  <c r="AQ14" i="8"/>
  <c r="AI14" i="8"/>
  <c r="AH14" i="8"/>
  <c r="T14" i="8"/>
  <c r="S14" i="8"/>
  <c r="L14" i="8"/>
  <c r="K14" i="8"/>
  <c r="M14" i="8" s="1"/>
  <c r="AR13" i="8"/>
  <c r="AQ13" i="8"/>
  <c r="AI13" i="8"/>
  <c r="AH13" i="8"/>
  <c r="T13" i="8"/>
  <c r="S13" i="8"/>
  <c r="L13" i="8"/>
  <c r="K13" i="8"/>
  <c r="M13" i="8" s="1"/>
  <c r="AR12" i="8"/>
  <c r="AQ12" i="8"/>
  <c r="AI12" i="8"/>
  <c r="AH12" i="8"/>
  <c r="T12" i="8"/>
  <c r="S12" i="8"/>
  <c r="M12" i="8"/>
  <c r="L12" i="8"/>
  <c r="K12" i="8"/>
  <c r="AQ11" i="8"/>
  <c r="AR11" i="8" s="1"/>
  <c r="AI11" i="8"/>
  <c r="AH11" i="8"/>
  <c r="T11" i="8"/>
  <c r="S11" i="8"/>
  <c r="L11" i="8"/>
  <c r="K11" i="8"/>
  <c r="M11" i="8" s="1"/>
  <c r="AR10" i="8"/>
  <c r="AQ10" i="8"/>
  <c r="AH10" i="8"/>
  <c r="AI10" i="8" s="1"/>
  <c r="T10" i="8"/>
  <c r="S10" i="8"/>
  <c r="L10" i="8"/>
  <c r="M10" i="8" s="1"/>
  <c r="K10" i="8"/>
  <c r="AR9" i="8"/>
  <c r="AQ9" i="8"/>
  <c r="AH9" i="8"/>
  <c r="AI9" i="8" s="1"/>
  <c r="T9" i="8"/>
  <c r="S9" i="8"/>
  <c r="L9" i="8"/>
  <c r="K9" i="8"/>
  <c r="M9" i="8" s="1"/>
  <c r="AQ8" i="8"/>
  <c r="AR8" i="8" s="1"/>
  <c r="AH8" i="8"/>
  <c r="AI8" i="8" s="1"/>
  <c r="S8" i="8"/>
  <c r="T8" i="8" s="1"/>
  <c r="M8" i="8"/>
  <c r="L8" i="8"/>
  <c r="K8" i="8"/>
  <c r="AR7" i="8"/>
  <c r="AQ7" i="8"/>
  <c r="AI7" i="8"/>
  <c r="AH7" i="8"/>
  <c r="S7" i="8"/>
  <c r="T7" i="8" s="1"/>
  <c r="L7" i="8"/>
  <c r="K7" i="8"/>
  <c r="M7" i="8" s="1"/>
  <c r="AQ6" i="8"/>
  <c r="AR6" i="8" s="1"/>
  <c r="AH6" i="8"/>
  <c r="AI6" i="8" s="1"/>
  <c r="T6" i="8"/>
  <c r="S6" i="8"/>
  <c r="L6" i="8"/>
  <c r="M6" i="8" s="1"/>
  <c r="K6" i="8"/>
  <c r="S8" i="7"/>
  <c r="AA7" i="7"/>
  <c r="Y7" i="7"/>
  <c r="Q7" i="7"/>
  <c r="K8" i="7" s="1"/>
  <c r="I7" i="7"/>
  <c r="C8" i="7" s="1"/>
  <c r="C22" i="6"/>
  <c r="C21" i="6"/>
  <c r="B21" i="6"/>
  <c r="D21" i="6" s="1"/>
  <c r="E21" i="6" s="1"/>
  <c r="C15" i="6"/>
  <c r="C14" i="6"/>
  <c r="C13" i="6"/>
  <c r="C9" i="6"/>
  <c r="C8" i="6"/>
  <c r="B8" i="6"/>
  <c r="D8" i="6" s="1"/>
  <c r="E8" i="6" s="1"/>
  <c r="E7" i="6"/>
  <c r="D7" i="6"/>
  <c r="C7" i="6"/>
  <c r="B7" i="6"/>
  <c r="C6" i="6"/>
  <c r="B6" i="6"/>
  <c r="D6" i="6" s="1"/>
  <c r="E6" i="6" s="1"/>
  <c r="I229" i="5"/>
  <c r="E229" i="5"/>
  <c r="C220" i="5"/>
  <c r="G194" i="5"/>
  <c r="F194" i="5"/>
  <c r="E194" i="5"/>
  <c r="D194" i="5"/>
  <c r="H194" i="5" s="1"/>
  <c r="C194" i="5"/>
  <c r="G193" i="5"/>
  <c r="F193" i="5"/>
  <c r="E193" i="5"/>
  <c r="E192" i="5"/>
  <c r="D192" i="5"/>
  <c r="C192" i="5"/>
  <c r="G191" i="5"/>
  <c r="F191" i="5"/>
  <c r="E191" i="5"/>
  <c r="D191" i="5"/>
  <c r="C191" i="5"/>
  <c r="G190" i="5"/>
  <c r="E190" i="5"/>
  <c r="D190" i="5"/>
  <c r="C190" i="5"/>
  <c r="G189" i="5"/>
  <c r="F189" i="5"/>
  <c r="E189" i="5"/>
  <c r="C189" i="5"/>
  <c r="H189" i="5" s="1"/>
  <c r="G188" i="5"/>
  <c r="F188" i="5"/>
  <c r="E188" i="5"/>
  <c r="D188" i="5"/>
  <c r="C188" i="5"/>
  <c r="F187" i="5"/>
  <c r="D187" i="5"/>
  <c r="H186" i="5"/>
  <c r="B15" i="6" s="1"/>
  <c r="D15" i="6" s="1"/>
  <c r="E15" i="6" s="1"/>
  <c r="G186" i="5"/>
  <c r="F186" i="5"/>
  <c r="F229" i="5" s="1"/>
  <c r="E186" i="5"/>
  <c r="E187" i="5" s="1"/>
  <c r="D186" i="5"/>
  <c r="D229" i="5" s="1"/>
  <c r="C186" i="5"/>
  <c r="C187" i="5" s="1"/>
  <c r="D136" i="5"/>
  <c r="F127" i="5"/>
  <c r="D127" i="5"/>
  <c r="C127" i="5"/>
  <c r="H104" i="5"/>
  <c r="G104" i="5"/>
  <c r="F104" i="5"/>
  <c r="E104" i="5"/>
  <c r="D104" i="5"/>
  <c r="C104" i="5"/>
  <c r="H103" i="5"/>
  <c r="F103" i="5"/>
  <c r="E103" i="5"/>
  <c r="D103" i="5"/>
  <c r="C103" i="5"/>
  <c r="I103" i="5" s="1"/>
  <c r="F102" i="5"/>
  <c r="E102" i="5"/>
  <c r="G101" i="5"/>
  <c r="F101" i="5"/>
  <c r="E101" i="5"/>
  <c r="D101" i="5"/>
  <c r="H100" i="5"/>
  <c r="G100" i="5"/>
  <c r="F100" i="5"/>
  <c r="E100" i="5"/>
  <c r="D100" i="5"/>
  <c r="C100" i="5"/>
  <c r="H99" i="5"/>
  <c r="F99" i="5"/>
  <c r="E99" i="5"/>
  <c r="D99" i="5"/>
  <c r="E98" i="5"/>
  <c r="D98" i="5"/>
  <c r="H97" i="5"/>
  <c r="G97" i="5"/>
  <c r="F97" i="5"/>
  <c r="E97" i="5"/>
  <c r="E136" i="5" s="1"/>
  <c r="D97" i="5"/>
  <c r="C97" i="5"/>
  <c r="F92" i="5"/>
  <c r="D47" i="5"/>
  <c r="C47" i="5"/>
  <c r="E15" i="5"/>
  <c r="D15" i="5"/>
  <c r="C15" i="5"/>
  <c r="D14" i="5"/>
  <c r="C14" i="5"/>
  <c r="E13" i="5"/>
  <c r="D13" i="5"/>
  <c r="E12" i="5"/>
  <c r="D12" i="5"/>
  <c r="C12" i="5"/>
  <c r="F12" i="5" s="1"/>
  <c r="F42" i="5" s="1"/>
  <c r="E18" i="5" s="1"/>
  <c r="E23" i="5" s="1"/>
  <c r="E11" i="5"/>
  <c r="D11" i="5"/>
  <c r="C11" i="5"/>
  <c r="F11" i="5" s="1"/>
  <c r="F41" i="5" s="1"/>
  <c r="E10" i="5"/>
  <c r="D10" i="5"/>
  <c r="C10" i="5"/>
  <c r="E9" i="5"/>
  <c r="D9" i="5"/>
  <c r="C9" i="5"/>
  <c r="E8" i="5"/>
  <c r="E47" i="5" s="1"/>
  <c r="D8" i="5"/>
  <c r="C8" i="5"/>
  <c r="F8" i="5" s="1"/>
  <c r="B13" i="6" s="1"/>
  <c r="D13" i="6" s="1"/>
  <c r="E13" i="6" s="1"/>
  <c r="B4" i="5"/>
  <c r="A32" i="4"/>
  <c r="A31" i="4"/>
  <c r="A28" i="4"/>
  <c r="H27" i="4"/>
  <c r="G27" i="4"/>
  <c r="F27" i="4"/>
  <c r="A24" i="4"/>
  <c r="A34" i="4" s="1"/>
  <c r="A23" i="4"/>
  <c r="A33" i="4" s="1"/>
  <c r="A22" i="4"/>
  <c r="A21" i="4"/>
  <c r="A20" i="4"/>
  <c r="A30" i="4" s="1"/>
  <c r="A19" i="4"/>
  <c r="A29" i="4" s="1"/>
  <c r="A18" i="4"/>
  <c r="H17" i="4"/>
  <c r="G17" i="4"/>
  <c r="F17" i="4"/>
  <c r="E17" i="4"/>
  <c r="E27" i="4" s="1"/>
  <c r="D17" i="4"/>
  <c r="D27" i="4" s="1"/>
  <c r="C17" i="4"/>
  <c r="C27" i="4" s="1"/>
  <c r="B17" i="4"/>
  <c r="B27" i="4" s="1"/>
  <c r="B8" i="4"/>
  <c r="B6" i="4"/>
  <c r="B5" i="4"/>
  <c r="E35" i="3"/>
  <c r="B35" i="3"/>
  <c r="E27" i="3"/>
  <c r="B27" i="3"/>
  <c r="E19" i="3"/>
  <c r="B19" i="3"/>
  <c r="B9" i="3"/>
  <c r="B8" i="3"/>
  <c r="B7" i="3"/>
  <c r="E39" i="2"/>
  <c r="D39" i="2"/>
  <c r="C39" i="2"/>
  <c r="D26" i="2"/>
  <c r="C26" i="2"/>
  <c r="B26" i="2"/>
  <c r="C23" i="2"/>
  <c r="B23" i="2"/>
  <c r="C18" i="2" s="1"/>
  <c r="B22" i="2"/>
  <c r="B20" i="2"/>
  <c r="B19" i="2"/>
  <c r="B18" i="2"/>
  <c r="B17" i="2"/>
  <c r="B16" i="2"/>
  <c r="B12" i="2"/>
  <c r="B10" i="2"/>
  <c r="B9" i="2"/>
  <c r="C24" i="2" s="1"/>
  <c r="C10" i="6" s="1"/>
  <c r="B8" i="2"/>
  <c r="B7" i="2"/>
  <c r="B28" i="1"/>
  <c r="B27" i="1"/>
  <c r="F13" i="5" l="1"/>
  <c r="F43" i="5" s="1"/>
  <c r="C19" i="5" s="1"/>
  <c r="C20" i="2"/>
  <c r="C18" i="5"/>
  <c r="G199" i="5"/>
  <c r="G205" i="5" s="1"/>
  <c r="D18" i="2"/>
  <c r="D46" i="2"/>
  <c r="C46" i="2"/>
  <c r="E46" i="2"/>
  <c r="C136" i="5"/>
  <c r="C98" i="5"/>
  <c r="I98" i="5" s="1"/>
  <c r="I97" i="5"/>
  <c r="D18" i="5"/>
  <c r="D23" i="5" s="1"/>
  <c r="H192" i="5"/>
  <c r="D17" i="5"/>
  <c r="D22" i="5" s="1"/>
  <c r="E17" i="5"/>
  <c r="E22" i="5" s="1"/>
  <c r="C17" i="5"/>
  <c r="I102" i="5"/>
  <c r="I132" i="5" s="1"/>
  <c r="G98" i="5"/>
  <c r="G136" i="5"/>
  <c r="H98" i="5"/>
  <c r="H136" i="5"/>
  <c r="F40" i="5"/>
  <c r="G229" i="5"/>
  <c r="G187" i="5"/>
  <c r="H187" i="5" s="1"/>
  <c r="F44" i="5"/>
  <c r="I133" i="5"/>
  <c r="H109" i="5" s="1"/>
  <c r="H114" i="5" s="1"/>
  <c r="F9" i="5"/>
  <c r="H274" i="5"/>
  <c r="C109" i="5"/>
  <c r="E220" i="5"/>
  <c r="G127" i="5"/>
  <c r="G220" i="5"/>
  <c r="E127" i="5"/>
  <c r="E38" i="5"/>
  <c r="D38" i="5"/>
  <c r="G4" i="5"/>
  <c r="C38" i="5"/>
  <c r="E4" i="5"/>
  <c r="F220" i="5"/>
  <c r="I4" i="5"/>
  <c r="B12" i="4"/>
  <c r="D220" i="5"/>
  <c r="H127" i="5"/>
  <c r="E20" i="5"/>
  <c r="E25" i="5" s="1"/>
  <c r="J136" i="5"/>
  <c r="G47" i="5"/>
  <c r="H47" i="5" s="1"/>
  <c r="F109" i="5"/>
  <c r="F114" i="5" s="1"/>
  <c r="E109" i="5"/>
  <c r="E114" i="5" s="1"/>
  <c r="C16" i="6"/>
  <c r="B24" i="2"/>
  <c r="C16" i="2"/>
  <c r="E19" i="5"/>
  <c r="E24" i="5" s="1"/>
  <c r="H190" i="5"/>
  <c r="H223" i="5" s="1"/>
  <c r="G109" i="5"/>
  <c r="G114" i="5" s="1"/>
  <c r="I99" i="5"/>
  <c r="I129" i="5" s="1"/>
  <c r="H129" i="9"/>
  <c r="I129" i="9" s="1"/>
  <c r="F47" i="5"/>
  <c r="I100" i="5"/>
  <c r="H193" i="5"/>
  <c r="H226" i="5" s="1"/>
  <c r="H225" i="5"/>
  <c r="F199" i="5" s="1"/>
  <c r="F205" i="5" s="1"/>
  <c r="F14" i="5"/>
  <c r="I101" i="5"/>
  <c r="I131" i="5" s="1"/>
  <c r="C19" i="2"/>
  <c r="F15" i="5"/>
  <c r="G106" i="5"/>
  <c r="G111" i="5" s="1"/>
  <c r="C106" i="5"/>
  <c r="D106" i="5"/>
  <c r="D111" i="5" s="1"/>
  <c r="I104" i="5"/>
  <c r="E198" i="5"/>
  <c r="E204" i="5" s="1"/>
  <c r="E199" i="5"/>
  <c r="E205" i="5" s="1"/>
  <c r="I130" i="5"/>
  <c r="C17" i="6"/>
  <c r="C17" i="2"/>
  <c r="F136" i="5"/>
  <c r="F98" i="5"/>
  <c r="H191" i="5"/>
  <c r="H224" i="5"/>
  <c r="F198" i="5" s="1"/>
  <c r="F204" i="5" s="1"/>
  <c r="D19" i="5"/>
  <c r="D24" i="5" s="1"/>
  <c r="D198" i="5"/>
  <c r="D204" i="5" s="1"/>
  <c r="H188" i="5"/>
  <c r="H222" i="5" s="1"/>
  <c r="D199" i="5"/>
  <c r="D205" i="5" s="1"/>
  <c r="F10" i="5"/>
  <c r="H130" i="9"/>
  <c r="I130" i="9" s="1"/>
  <c r="I125" i="9"/>
  <c r="B22" i="6"/>
  <c r="D22" i="6" s="1"/>
  <c r="E22" i="6" s="1"/>
  <c r="C229" i="5"/>
  <c r="M18" i="8"/>
  <c r="B9" i="6" s="1"/>
  <c r="D9" i="6" s="1"/>
  <c r="E9" i="6" s="1"/>
  <c r="F19" i="5" l="1"/>
  <c r="C24" i="5"/>
  <c r="C195" i="5"/>
  <c r="F195" i="5"/>
  <c r="F201" i="5" s="1"/>
  <c r="G195" i="5"/>
  <c r="G201" i="5" s="1"/>
  <c r="D195" i="5"/>
  <c r="D201" i="5" s="1"/>
  <c r="E195" i="5"/>
  <c r="E201" i="5" s="1"/>
  <c r="G200" i="5"/>
  <c r="G206" i="5" s="1"/>
  <c r="E200" i="5"/>
  <c r="E206" i="5" s="1"/>
  <c r="D200" i="5"/>
  <c r="D206" i="5" s="1"/>
  <c r="C200" i="5"/>
  <c r="F200" i="5"/>
  <c r="F206" i="5" s="1"/>
  <c r="F208" i="5" s="1"/>
  <c r="F211" i="5" s="1"/>
  <c r="F212" i="5" s="1"/>
  <c r="F108" i="5"/>
  <c r="F113" i="5" s="1"/>
  <c r="F116" i="5" s="1"/>
  <c r="F119" i="5" s="1"/>
  <c r="F120" i="5" s="1"/>
  <c r="G108" i="5"/>
  <c r="G113" i="5" s="1"/>
  <c r="G116" i="5" s="1"/>
  <c r="G119" i="5" s="1"/>
  <c r="G120" i="5" s="1"/>
  <c r="H108" i="5"/>
  <c r="H113" i="5" s="1"/>
  <c r="H116" i="5" s="1"/>
  <c r="H119" i="5" s="1"/>
  <c r="H120" i="5" s="1"/>
  <c r="C108" i="5"/>
  <c r="E108" i="5"/>
  <c r="E113" i="5" s="1"/>
  <c r="E116" i="5" s="1"/>
  <c r="E119" i="5" s="1"/>
  <c r="E120" i="5" s="1"/>
  <c r="D108" i="5"/>
  <c r="D113" i="5" s="1"/>
  <c r="D116" i="5" s="1"/>
  <c r="D119" i="5" s="1"/>
  <c r="D120" i="5" s="1"/>
  <c r="E105" i="5"/>
  <c r="E110" i="5" s="1"/>
  <c r="D105" i="5"/>
  <c r="D110" i="5" s="1"/>
  <c r="F105" i="5"/>
  <c r="F110" i="5" s="1"/>
  <c r="C105" i="5"/>
  <c r="G105" i="5"/>
  <c r="G110" i="5" s="1"/>
  <c r="H105" i="5"/>
  <c r="H110" i="5" s="1"/>
  <c r="G196" i="5"/>
  <c r="G202" i="5" s="1"/>
  <c r="F196" i="5"/>
  <c r="F202" i="5" s="1"/>
  <c r="D196" i="5"/>
  <c r="D202" i="5" s="1"/>
  <c r="G197" i="5"/>
  <c r="G203" i="5" s="1"/>
  <c r="E197" i="5"/>
  <c r="E203" i="5" s="1"/>
  <c r="C196" i="5"/>
  <c r="D197" i="5"/>
  <c r="D203" i="5" s="1"/>
  <c r="E196" i="5"/>
  <c r="E202" i="5" s="1"/>
  <c r="F197" i="5"/>
  <c r="F203" i="5" s="1"/>
  <c r="C197" i="5"/>
  <c r="D16" i="5"/>
  <c r="D21" i="5" s="1"/>
  <c r="C16" i="5"/>
  <c r="C198" i="5"/>
  <c r="I109" i="5"/>
  <c r="C114" i="5"/>
  <c r="C22" i="5"/>
  <c r="F17" i="5"/>
  <c r="D20" i="2"/>
  <c r="C38" i="2"/>
  <c r="E38" i="2"/>
  <c r="D38" i="2"/>
  <c r="E26" i="5"/>
  <c r="D208" i="5"/>
  <c r="D211" i="5" s="1"/>
  <c r="D212" i="5" s="1"/>
  <c r="I136" i="5"/>
  <c r="K136" i="5" s="1"/>
  <c r="D115" i="5"/>
  <c r="E16" i="5"/>
  <c r="E21" i="5" s="1"/>
  <c r="C107" i="5"/>
  <c r="D107" i="5"/>
  <c r="D112" i="5" s="1"/>
  <c r="E107" i="5"/>
  <c r="E112" i="5" s="1"/>
  <c r="C23" i="5"/>
  <c r="F18" i="5"/>
  <c r="B10" i="6"/>
  <c r="D10" i="6" s="1"/>
  <c r="E10" i="6" s="1"/>
  <c r="D24" i="2"/>
  <c r="D26" i="5"/>
  <c r="H229" i="5"/>
  <c r="J229" i="5" s="1"/>
  <c r="N8" i="7"/>
  <c r="D17" i="2"/>
  <c r="G198" i="5"/>
  <c r="G204" i="5" s="1"/>
  <c r="C21" i="2"/>
  <c r="D21" i="2" s="1"/>
  <c r="D19" i="2"/>
  <c r="C199" i="5"/>
  <c r="F106" i="5"/>
  <c r="F111" i="5" s="1"/>
  <c r="E106" i="5"/>
  <c r="E111" i="5" s="1"/>
  <c r="F107" i="5"/>
  <c r="F112" i="5" s="1"/>
  <c r="C111" i="5"/>
  <c r="I106" i="5"/>
  <c r="G208" i="5"/>
  <c r="G211" i="5" s="1"/>
  <c r="G212" i="5" s="1"/>
  <c r="C20" i="5"/>
  <c r="D20" i="5"/>
  <c r="D25" i="5" s="1"/>
  <c r="D27" i="5"/>
  <c r="D30" i="5" s="1"/>
  <c r="D31" i="5" s="1"/>
  <c r="F8" i="7"/>
  <c r="G115" i="5"/>
  <c r="E27" i="5"/>
  <c r="E30" i="5" s="1"/>
  <c r="E31" i="5" s="1"/>
  <c r="E208" i="5"/>
  <c r="E211" i="5" s="1"/>
  <c r="E212" i="5" s="1"/>
  <c r="G107" i="5"/>
  <c r="G112" i="5" s="1"/>
  <c r="V8" i="7"/>
  <c r="H107" i="5"/>
  <c r="H112" i="5" s="1"/>
  <c r="D109" i="5"/>
  <c r="D114" i="5" s="1"/>
  <c r="I181" i="5"/>
  <c r="B14" i="6"/>
  <c r="D14" i="6" s="1"/>
  <c r="E14" i="6" s="1"/>
  <c r="H106" i="5"/>
  <c r="H111" i="5" s="1"/>
  <c r="F214" i="5" l="1"/>
  <c r="F213" i="5"/>
  <c r="H197" i="5"/>
  <c r="C203" i="5"/>
  <c r="E40" i="2"/>
  <c r="D40" i="2"/>
  <c r="C40" i="2"/>
  <c r="C204" i="5"/>
  <c r="H198" i="5"/>
  <c r="C112" i="5"/>
  <c r="I107" i="5"/>
  <c r="D121" i="5"/>
  <c r="D122" i="5"/>
  <c r="E121" i="5"/>
  <c r="E122" i="5"/>
  <c r="E115" i="5"/>
  <c r="D117" i="5"/>
  <c r="D123" i="5" s="1"/>
  <c r="D124" i="5" s="1"/>
  <c r="D125" i="5" s="1"/>
  <c r="D126" i="5" s="1"/>
  <c r="D137" i="5" s="1"/>
  <c r="D138" i="5" s="1"/>
  <c r="D139" i="5" s="1"/>
  <c r="D140" i="5" s="1"/>
  <c r="D141" i="5" s="1"/>
  <c r="D142" i="5" s="1"/>
  <c r="D143" i="5" s="1"/>
  <c r="D144" i="5" s="1"/>
  <c r="D145" i="5" s="1"/>
  <c r="D146" i="5" s="1"/>
  <c r="D147" i="5" s="1"/>
  <c r="D148" i="5" s="1"/>
  <c r="D118" i="5"/>
  <c r="C113" i="5"/>
  <c r="C116" i="5" s="1"/>
  <c r="C119" i="5" s="1"/>
  <c r="C120" i="5" s="1"/>
  <c r="I108" i="5"/>
  <c r="F115" i="5"/>
  <c r="G121" i="5"/>
  <c r="G122" i="5"/>
  <c r="F121" i="5"/>
  <c r="F122" i="5"/>
  <c r="C205" i="5"/>
  <c r="H199" i="5"/>
  <c r="E207" i="5"/>
  <c r="C206" i="5"/>
  <c r="H200" i="5"/>
  <c r="L35" i="7"/>
  <c r="L25" i="7"/>
  <c r="L15" i="7"/>
  <c r="L29" i="7"/>
  <c r="L28" i="7"/>
  <c r="L26" i="7"/>
  <c r="L24" i="7"/>
  <c r="L22" i="7"/>
  <c r="L42" i="7"/>
  <c r="L20" i="7"/>
  <c r="L34" i="7"/>
  <c r="L12" i="7"/>
  <c r="L30" i="7"/>
  <c r="L27" i="7"/>
  <c r="L21" i="7"/>
  <c r="L19" i="7"/>
  <c r="L16" i="7"/>
  <c r="L41" i="7"/>
  <c r="L33" i="7"/>
  <c r="L39" i="7"/>
  <c r="L11" i="7"/>
  <c r="L8" i="7"/>
  <c r="L37" i="7"/>
  <c r="L23" i="7"/>
  <c r="L32" i="7"/>
  <c r="L17" i="7"/>
  <c r="L36" i="7"/>
  <c r="L13" i="7"/>
  <c r="L10" i="7"/>
  <c r="L18" i="7"/>
  <c r="L31" i="7"/>
  <c r="L14" i="7"/>
  <c r="L9" i="7"/>
  <c r="L40" i="7"/>
  <c r="L38" i="7"/>
  <c r="L43" i="7"/>
  <c r="B7" i="4"/>
  <c r="C202" i="5"/>
  <c r="H196" i="5"/>
  <c r="B17" i="6" s="1"/>
  <c r="D17" i="6" s="1"/>
  <c r="E17" i="6" s="1"/>
  <c r="T22" i="7"/>
  <c r="T21" i="7"/>
  <c r="T43" i="7"/>
  <c r="T20" i="7"/>
  <c r="C36" i="3" s="1"/>
  <c r="T42" i="7"/>
  <c r="T41" i="7"/>
  <c r="T40" i="7"/>
  <c r="T18" i="7"/>
  <c r="T39" i="7"/>
  <c r="T17" i="7"/>
  <c r="T37" i="7"/>
  <c r="T15" i="7"/>
  <c r="T35" i="7"/>
  <c r="T13" i="7"/>
  <c r="T27" i="7"/>
  <c r="T31" i="7"/>
  <c r="T25" i="7"/>
  <c r="T28" i="7"/>
  <c r="T14" i="7"/>
  <c r="T32" i="7"/>
  <c r="T24" i="7"/>
  <c r="T30" i="7"/>
  <c r="T19" i="7"/>
  <c r="T10" i="7"/>
  <c r="T8" i="7"/>
  <c r="T12" i="7"/>
  <c r="T29" i="7"/>
  <c r="T9" i="7"/>
  <c r="T11" i="7"/>
  <c r="T38" i="7"/>
  <c r="T34" i="7"/>
  <c r="T36" i="7"/>
  <c r="T23" i="7"/>
  <c r="T33" i="7"/>
  <c r="T16" i="7"/>
  <c r="T26" i="7"/>
  <c r="C25" i="2"/>
  <c r="D36" i="7"/>
  <c r="D14" i="7"/>
  <c r="D35" i="7"/>
  <c r="D13" i="7"/>
  <c r="D33" i="7"/>
  <c r="D11" i="7"/>
  <c r="D32" i="7"/>
  <c r="D10" i="7"/>
  <c r="D30" i="7"/>
  <c r="D27" i="7"/>
  <c r="D42" i="7"/>
  <c r="D20" i="7"/>
  <c r="D17" i="7"/>
  <c r="D24" i="7"/>
  <c r="D21" i="7"/>
  <c r="D38" i="7"/>
  <c r="D43" i="7"/>
  <c r="D16" i="7"/>
  <c r="D37" i="7"/>
  <c r="D26" i="7"/>
  <c r="D23" i="7"/>
  <c r="D9" i="7"/>
  <c r="D12" i="7"/>
  <c r="D41" i="7"/>
  <c r="D34" i="7"/>
  <c r="D29" i="7"/>
  <c r="D19" i="7"/>
  <c r="D40" i="7"/>
  <c r="D28" i="7"/>
  <c r="D18" i="7"/>
  <c r="D31" i="7"/>
  <c r="D15" i="7"/>
  <c r="D25" i="7"/>
  <c r="D8" i="7"/>
  <c r="D39" i="7"/>
  <c r="D22" i="7"/>
  <c r="D25" i="2"/>
  <c r="D207" i="5"/>
  <c r="G117" i="5"/>
  <c r="G123" i="5" s="1"/>
  <c r="G124" i="5" s="1"/>
  <c r="G125" i="5" s="1"/>
  <c r="G118" i="5"/>
  <c r="F20" i="5"/>
  <c r="C25" i="5"/>
  <c r="C27" i="5" s="1"/>
  <c r="C30" i="5" s="1"/>
  <c r="C31" i="5" s="1"/>
  <c r="G213" i="5"/>
  <c r="G214" i="5"/>
  <c r="C115" i="5"/>
  <c r="F16" i="5"/>
  <c r="B16" i="6" s="1"/>
  <c r="D16" i="6" s="1"/>
  <c r="E16" i="6" s="1"/>
  <c r="C21" i="5"/>
  <c r="F21" i="5" s="1"/>
  <c r="H121" i="5"/>
  <c r="H122" i="5"/>
  <c r="D214" i="5"/>
  <c r="D213" i="5"/>
  <c r="E28" i="5"/>
  <c r="E34" i="5" s="1"/>
  <c r="E35" i="5" s="1"/>
  <c r="E36" i="5" s="1"/>
  <c r="E29" i="5"/>
  <c r="E44" i="2"/>
  <c r="D44" i="2"/>
  <c r="C44" i="2"/>
  <c r="D29" i="5"/>
  <c r="D28" i="5"/>
  <c r="D34" i="5" s="1"/>
  <c r="D35" i="5" s="1"/>
  <c r="D36" i="5" s="1"/>
  <c r="F207" i="5"/>
  <c r="H115" i="5"/>
  <c r="B10" i="4"/>
  <c r="G207" i="5"/>
  <c r="E214" i="5"/>
  <c r="E213" i="5"/>
  <c r="D33" i="5"/>
  <c r="D32" i="5"/>
  <c r="C26" i="5"/>
  <c r="E33" i="5"/>
  <c r="E32" i="5"/>
  <c r="I105" i="5"/>
  <c r="C110" i="5"/>
  <c r="I110" i="5" s="1"/>
  <c r="H195" i="5"/>
  <c r="C201" i="5"/>
  <c r="H201" i="5" s="1"/>
  <c r="G126" i="5" l="1"/>
  <c r="G137" i="5" s="1"/>
  <c r="G138" i="5" s="1"/>
  <c r="G139" i="5" s="1"/>
  <c r="G140" i="5" s="1"/>
  <c r="G141" i="5" s="1"/>
  <c r="G142" i="5" s="1"/>
  <c r="G143" i="5" s="1"/>
  <c r="G144" i="5" s="1"/>
  <c r="G145" i="5" s="1"/>
  <c r="G146" i="5" s="1"/>
  <c r="G147" i="5" s="1"/>
  <c r="G148" i="5" s="1"/>
  <c r="G149" i="5" s="1"/>
  <c r="G150" i="5" s="1"/>
  <c r="G151" i="5" s="1"/>
  <c r="G152" i="5" s="1"/>
  <c r="G153" i="5" s="1"/>
  <c r="G154" i="5" s="1"/>
  <c r="G155" i="5" s="1"/>
  <c r="G156" i="5" s="1"/>
  <c r="G157" i="5" s="1"/>
  <c r="G158" i="5" s="1"/>
  <c r="G159" i="5" s="1"/>
  <c r="G160" i="5" s="1"/>
  <c r="D37" i="5"/>
  <c r="D48" i="5" s="1"/>
  <c r="D49" i="5" s="1"/>
  <c r="D50" i="5" s="1"/>
  <c r="D51" i="5" s="1"/>
  <c r="D52" i="5" s="1"/>
  <c r="D53" i="5" s="1"/>
  <c r="D54" i="5" s="1"/>
  <c r="D55" i="5" s="1"/>
  <c r="D56" i="5" s="1"/>
  <c r="D57" i="5" s="1"/>
  <c r="D58" i="5" s="1"/>
  <c r="D59" i="5" s="1"/>
  <c r="D60" i="5" s="1"/>
  <c r="D61" i="5" s="1"/>
  <c r="D62" i="5" s="1"/>
  <c r="D63" i="5" s="1"/>
  <c r="D64" i="5" s="1"/>
  <c r="D65" i="5" s="1"/>
  <c r="D66" i="5" s="1"/>
  <c r="D67" i="5" s="1"/>
  <c r="D68" i="5" s="1"/>
  <c r="D69" i="5" s="1"/>
  <c r="D70" i="5" s="1"/>
  <c r="D71" i="5" s="1"/>
  <c r="C32" i="5"/>
  <c r="C33" i="5"/>
  <c r="E117" i="5"/>
  <c r="E123" i="5" s="1"/>
  <c r="E124" i="5" s="1"/>
  <c r="E125" i="5" s="1"/>
  <c r="E126" i="5" s="1"/>
  <c r="E137" i="5" s="1"/>
  <c r="E138" i="5" s="1"/>
  <c r="E139" i="5" s="1"/>
  <c r="E140" i="5" s="1"/>
  <c r="E141" i="5" s="1"/>
  <c r="E142" i="5" s="1"/>
  <c r="E143" i="5" s="1"/>
  <c r="E144" i="5" s="1"/>
  <c r="E145" i="5" s="1"/>
  <c r="E146" i="5" s="1"/>
  <c r="E147" i="5" s="1"/>
  <c r="E148" i="5" s="1"/>
  <c r="E118" i="5"/>
  <c r="D36" i="3"/>
  <c r="H14" i="3"/>
  <c r="B11" i="4"/>
  <c r="D45" i="2"/>
  <c r="E210" i="5"/>
  <c r="E209" i="5"/>
  <c r="E215" i="5" s="1"/>
  <c r="E216" i="5" s="1"/>
  <c r="D149" i="5"/>
  <c r="D150" i="5" s="1"/>
  <c r="D151" i="5" s="1"/>
  <c r="D152" i="5" s="1"/>
  <c r="D153" i="5" s="1"/>
  <c r="D154" i="5" s="1"/>
  <c r="D155" i="5" s="1"/>
  <c r="D156" i="5" s="1"/>
  <c r="D157" i="5" s="1"/>
  <c r="D158" i="5" s="1"/>
  <c r="D159" i="5" s="1"/>
  <c r="D160" i="5" s="1"/>
  <c r="B28" i="3"/>
  <c r="F210" i="5"/>
  <c r="F209" i="5"/>
  <c r="F215" i="5" s="1"/>
  <c r="F216" i="5" s="1"/>
  <c r="C207" i="5"/>
  <c r="C45" i="2"/>
  <c r="H13" i="3"/>
  <c r="H15" i="3"/>
  <c r="E45" i="2"/>
  <c r="C208" i="5"/>
  <c r="C211" i="5" s="1"/>
  <c r="C212" i="5" s="1"/>
  <c r="C29" i="5"/>
  <c r="C28" i="5"/>
  <c r="C34" i="5" s="1"/>
  <c r="C35" i="5" s="1"/>
  <c r="C36" i="5" s="1"/>
  <c r="B20" i="3"/>
  <c r="C41" i="2"/>
  <c r="C49" i="2"/>
  <c r="F13" i="3" s="1"/>
  <c r="G13" i="3"/>
  <c r="D210" i="5"/>
  <c r="D209" i="5"/>
  <c r="D215" i="5" s="1"/>
  <c r="D216" i="5" s="1"/>
  <c r="E37" i="5"/>
  <c r="E48" i="5" s="1"/>
  <c r="E49" i="5" s="1"/>
  <c r="E50" i="5" s="1"/>
  <c r="E51" i="5" s="1"/>
  <c r="E52" i="5" s="1"/>
  <c r="E53" i="5" s="1"/>
  <c r="E54" i="5" s="1"/>
  <c r="E55" i="5" s="1"/>
  <c r="E56" i="5" s="1"/>
  <c r="E57" i="5" s="1"/>
  <c r="E58" i="5" s="1"/>
  <c r="E59" i="5" s="1"/>
  <c r="C28" i="3"/>
  <c r="G14" i="3"/>
  <c r="D41" i="2"/>
  <c r="D49" i="2"/>
  <c r="F14" i="3" s="1"/>
  <c r="B9" i="4"/>
  <c r="H118" i="5"/>
  <c r="H117" i="5"/>
  <c r="H123" i="5" s="1"/>
  <c r="H124" i="5" s="1"/>
  <c r="H125" i="5" s="1"/>
  <c r="H126" i="5" s="1"/>
  <c r="H137" i="5" s="1"/>
  <c r="H138" i="5" s="1"/>
  <c r="H139" i="5" s="1"/>
  <c r="H140" i="5" s="1"/>
  <c r="H141" i="5" s="1"/>
  <c r="H142" i="5" s="1"/>
  <c r="H143" i="5" s="1"/>
  <c r="H144" i="5" s="1"/>
  <c r="H145" i="5" s="1"/>
  <c r="H146" i="5" s="1"/>
  <c r="H147" i="5" s="1"/>
  <c r="H148" i="5" s="1"/>
  <c r="C20" i="3"/>
  <c r="G15" i="3"/>
  <c r="E41" i="2"/>
  <c r="E49" i="2"/>
  <c r="F15" i="3" s="1"/>
  <c r="F117" i="5"/>
  <c r="F123" i="5" s="1"/>
  <c r="F124" i="5" s="1"/>
  <c r="F125" i="5" s="1"/>
  <c r="F126" i="5" s="1"/>
  <c r="F137" i="5" s="1"/>
  <c r="F138" i="5" s="1"/>
  <c r="F139" i="5" s="1"/>
  <c r="F140" i="5" s="1"/>
  <c r="F141" i="5" s="1"/>
  <c r="F142" i="5" s="1"/>
  <c r="F143" i="5" s="1"/>
  <c r="F144" i="5" s="1"/>
  <c r="F145" i="5" s="1"/>
  <c r="F146" i="5" s="1"/>
  <c r="F147" i="5" s="1"/>
  <c r="F148" i="5" s="1"/>
  <c r="F118" i="5"/>
  <c r="G210" i="5"/>
  <c r="G209" i="5"/>
  <c r="G215" i="5" s="1"/>
  <c r="G216" i="5" s="1"/>
  <c r="D28" i="3"/>
  <c r="C122" i="5"/>
  <c r="C121" i="5"/>
  <c r="C118" i="5"/>
  <c r="C117" i="5"/>
  <c r="C123" i="5" s="1"/>
  <c r="C124" i="5" s="1"/>
  <c r="C125" i="5" s="1"/>
  <c r="D20" i="3"/>
  <c r="B36" i="3"/>
  <c r="E36" i="3" s="1"/>
  <c r="C126" i="5" l="1"/>
  <c r="C137" i="5" s="1"/>
  <c r="F218" i="5"/>
  <c r="F217" i="5"/>
  <c r="F219" i="5" s="1"/>
  <c r="D218" i="5"/>
  <c r="D217" i="5"/>
  <c r="D219" i="5" s="1"/>
  <c r="C138" i="5"/>
  <c r="I137" i="5"/>
  <c r="G217" i="5"/>
  <c r="G219" i="5" s="1"/>
  <c r="G218" i="5"/>
  <c r="F149" i="5"/>
  <c r="F150" i="5" s="1"/>
  <c r="F151" i="5" s="1"/>
  <c r="F152" i="5" s="1"/>
  <c r="F153" i="5" s="1"/>
  <c r="F154" i="5" s="1"/>
  <c r="F155" i="5" s="1"/>
  <c r="F156" i="5" s="1"/>
  <c r="F157" i="5" s="1"/>
  <c r="F158" i="5" s="1"/>
  <c r="F159" i="5" s="1"/>
  <c r="F160" i="5" s="1"/>
  <c r="B48" i="4"/>
  <c r="D40" i="4"/>
  <c r="B47" i="4"/>
  <c r="G39" i="4"/>
  <c r="D24" i="4"/>
  <c r="D34" i="4" s="1"/>
  <c r="H21" i="4"/>
  <c r="H31" i="4" s="1"/>
  <c r="D19" i="4"/>
  <c r="D29" i="4" s="1"/>
  <c r="B14" i="4"/>
  <c r="C45" i="4"/>
  <c r="D45" i="4" s="1"/>
  <c r="E38" i="4"/>
  <c r="G22" i="4"/>
  <c r="B20" i="4"/>
  <c r="B45" i="4"/>
  <c r="D38" i="4"/>
  <c r="F22" i="4"/>
  <c r="C38" i="4"/>
  <c r="E22" i="4"/>
  <c r="H19" i="4"/>
  <c r="C40" i="4"/>
  <c r="B24" i="4"/>
  <c r="E21" i="4"/>
  <c r="E31" i="4" s="1"/>
  <c r="H18" i="4"/>
  <c r="B40" i="4"/>
  <c r="G24" i="4"/>
  <c r="G34" i="4" s="1"/>
  <c r="D21" i="4"/>
  <c r="D31" i="4" s="1"/>
  <c r="D18" i="4"/>
  <c r="D28" i="4" s="1"/>
  <c r="H39" i="4"/>
  <c r="F24" i="4"/>
  <c r="F34" i="4" s="1"/>
  <c r="C21" i="4"/>
  <c r="C31" i="4" s="1"/>
  <c r="C18" i="4"/>
  <c r="B21" i="4"/>
  <c r="H24" i="4"/>
  <c r="E24" i="4"/>
  <c r="H20" i="4"/>
  <c r="E40" i="4"/>
  <c r="F23" i="4"/>
  <c r="C20" i="4"/>
  <c r="E39" i="4"/>
  <c r="D23" i="4"/>
  <c r="G19" i="4"/>
  <c r="F39" i="4"/>
  <c r="E23" i="4"/>
  <c r="E33" i="4" s="1"/>
  <c r="G38" i="4"/>
  <c r="F18" i="4"/>
  <c r="F28" i="4" s="1"/>
  <c r="F38" i="4"/>
  <c r="B41" i="4" s="1"/>
  <c r="H22" i="4"/>
  <c r="H32" i="4" s="1"/>
  <c r="E18" i="4"/>
  <c r="E28" i="4" s="1"/>
  <c r="B38" i="4"/>
  <c r="D22" i="4"/>
  <c r="D32" i="4" s="1"/>
  <c r="B18" i="4"/>
  <c r="C22" i="4"/>
  <c r="C48" i="4"/>
  <c r="B22" i="4"/>
  <c r="E20" i="4"/>
  <c r="C46" i="4"/>
  <c r="B46" i="4"/>
  <c r="D20" i="4"/>
  <c r="G21" i="4"/>
  <c r="G20" i="4"/>
  <c r="C47" i="4"/>
  <c r="F21" i="4"/>
  <c r="F20" i="4"/>
  <c r="F30" i="4" s="1"/>
  <c r="F40" i="4"/>
  <c r="F41" i="4" s="1"/>
  <c r="C24" i="4"/>
  <c r="C34" i="4" s="1"/>
  <c r="H40" i="4"/>
  <c r="H23" i="4"/>
  <c r="H33" i="4" s="1"/>
  <c r="G40" i="4"/>
  <c r="G23" i="4"/>
  <c r="G33" i="4" s="1"/>
  <c r="C23" i="4"/>
  <c r="C33" i="4" s="1"/>
  <c r="E19" i="4"/>
  <c r="D39" i="4"/>
  <c r="F19" i="4"/>
  <c r="B39" i="4"/>
  <c r="B19" i="4"/>
  <c r="C39" i="4"/>
  <c r="G18" i="4"/>
  <c r="B23" i="4"/>
  <c r="H38" i="4"/>
  <c r="C19" i="4"/>
  <c r="E43" i="2"/>
  <c r="E42" i="2"/>
  <c r="E47" i="2" s="1"/>
  <c r="C37" i="5"/>
  <c r="C48" i="5" s="1"/>
  <c r="G161" i="5"/>
  <c r="G162" i="5" s="1"/>
  <c r="G163" i="5" s="1"/>
  <c r="G164" i="5" s="1"/>
  <c r="G165" i="5" s="1"/>
  <c r="G166" i="5" s="1"/>
  <c r="G167" i="5" s="1"/>
  <c r="G168" i="5" s="1"/>
  <c r="G169" i="5" s="1"/>
  <c r="G170" i="5" s="1"/>
  <c r="G171" i="5" s="1"/>
  <c r="G172" i="5" s="1"/>
  <c r="E28" i="3"/>
  <c r="D161" i="5"/>
  <c r="D162" i="5" s="1"/>
  <c r="D163" i="5" s="1"/>
  <c r="D164" i="5" s="1"/>
  <c r="D165" i="5" s="1"/>
  <c r="D166" i="5" s="1"/>
  <c r="D167" i="5" s="1"/>
  <c r="D168" i="5" s="1"/>
  <c r="D169" i="5" s="1"/>
  <c r="D170" i="5" s="1"/>
  <c r="D171" i="5" s="1"/>
  <c r="D172" i="5" s="1"/>
  <c r="E217" i="5"/>
  <c r="E219" i="5" s="1"/>
  <c r="E218" i="5"/>
  <c r="C42" i="2"/>
  <c r="C43" i="2"/>
  <c r="D47" i="2"/>
  <c r="M8" i="7"/>
  <c r="E20" i="3"/>
  <c r="C213" i="5"/>
  <c r="C214" i="5"/>
  <c r="H149" i="5"/>
  <c r="H150" i="5" s="1"/>
  <c r="H151" i="5" s="1"/>
  <c r="H152" i="5" s="1"/>
  <c r="H153" i="5" s="1"/>
  <c r="H154" i="5" s="1"/>
  <c r="H155" i="5" s="1"/>
  <c r="H156" i="5" s="1"/>
  <c r="H157" i="5" s="1"/>
  <c r="H158" i="5" s="1"/>
  <c r="H159" i="5" s="1"/>
  <c r="H160" i="5" s="1"/>
  <c r="E48" i="2"/>
  <c r="E15" i="3" s="1"/>
  <c r="U8" i="7"/>
  <c r="E60" i="5"/>
  <c r="E61" i="5" s="1"/>
  <c r="E62" i="5" s="1"/>
  <c r="E63" i="5" s="1"/>
  <c r="E64" i="5" s="1"/>
  <c r="E65" i="5" s="1"/>
  <c r="E66" i="5" s="1"/>
  <c r="E67" i="5" s="1"/>
  <c r="E68" i="5" s="1"/>
  <c r="E69" i="5" s="1"/>
  <c r="E70" i="5" s="1"/>
  <c r="E71" i="5" s="1"/>
  <c r="D72" i="5"/>
  <c r="D73" i="5" s="1"/>
  <c r="D74" i="5" s="1"/>
  <c r="D75" i="5" s="1"/>
  <c r="D76" i="5" s="1"/>
  <c r="D77" i="5" s="1"/>
  <c r="D78" i="5" s="1"/>
  <c r="D79" i="5" s="1"/>
  <c r="D80" i="5" s="1"/>
  <c r="D81" i="5" s="1"/>
  <c r="D82" i="5" s="1"/>
  <c r="D83" i="5" s="1"/>
  <c r="E149" i="5"/>
  <c r="E150" i="5" s="1"/>
  <c r="E151" i="5" s="1"/>
  <c r="E152" i="5" s="1"/>
  <c r="E153" i="5" s="1"/>
  <c r="E154" i="5" s="1"/>
  <c r="E155" i="5" s="1"/>
  <c r="E156" i="5" s="1"/>
  <c r="E157" i="5" s="1"/>
  <c r="E158" i="5" s="1"/>
  <c r="E159" i="5" s="1"/>
  <c r="E160" i="5" s="1"/>
  <c r="E8" i="7"/>
  <c r="D43" i="2"/>
  <c r="D42" i="2"/>
  <c r="C210" i="5"/>
  <c r="C209" i="5"/>
  <c r="C215" i="5" s="1"/>
  <c r="C216" i="5" s="1"/>
  <c r="C48" i="2" l="1"/>
  <c r="E13" i="3" s="1"/>
  <c r="H28" i="4"/>
  <c r="D41" i="4"/>
  <c r="F31" i="4"/>
  <c r="E230" i="5"/>
  <c r="G8" i="7"/>
  <c r="E29" i="4"/>
  <c r="B28" i="4"/>
  <c r="C28" i="4"/>
  <c r="C218" i="5"/>
  <c r="C217" i="5"/>
  <c r="C219" i="5" s="1"/>
  <c r="C230" i="5" s="1"/>
  <c r="D47" i="4"/>
  <c r="C29" i="4"/>
  <c r="O8" i="7"/>
  <c r="E161" i="5"/>
  <c r="E162" i="5" s="1"/>
  <c r="E163" i="5" s="1"/>
  <c r="E164" i="5" s="1"/>
  <c r="E165" i="5" s="1"/>
  <c r="E166" i="5" s="1"/>
  <c r="E167" i="5" s="1"/>
  <c r="E168" i="5" s="1"/>
  <c r="E169" i="5" s="1"/>
  <c r="E170" i="5" s="1"/>
  <c r="E171" i="5" s="1"/>
  <c r="E172" i="5" s="1"/>
  <c r="G31" i="4"/>
  <c r="H29" i="4"/>
  <c r="P8" i="7"/>
  <c r="B33" i="4"/>
  <c r="D30" i="4"/>
  <c r="C30" i="4"/>
  <c r="E32" i="4"/>
  <c r="G230" i="5"/>
  <c r="X8" i="7"/>
  <c r="G29" i="4"/>
  <c r="G30" i="4"/>
  <c r="D48" i="2"/>
  <c r="E14" i="3" s="1"/>
  <c r="D46" i="4"/>
  <c r="F32" i="4"/>
  <c r="C139" i="5"/>
  <c r="I138" i="5"/>
  <c r="E72" i="5"/>
  <c r="E73" i="5" s="1"/>
  <c r="E74" i="5" s="1"/>
  <c r="E75" i="5" s="1"/>
  <c r="E76" i="5" s="1"/>
  <c r="E77" i="5" s="1"/>
  <c r="E78" i="5" s="1"/>
  <c r="E79" i="5" s="1"/>
  <c r="E80" i="5" s="1"/>
  <c r="E81" i="5" s="1"/>
  <c r="E82" i="5" s="1"/>
  <c r="E83" i="5" s="1"/>
  <c r="H161" i="5"/>
  <c r="H162" i="5" s="1"/>
  <c r="H163" i="5" s="1"/>
  <c r="H164" i="5" s="1"/>
  <c r="H165" i="5" s="1"/>
  <c r="H166" i="5" s="1"/>
  <c r="H167" i="5" s="1"/>
  <c r="H168" i="5" s="1"/>
  <c r="H169" i="5" s="1"/>
  <c r="H170" i="5" s="1"/>
  <c r="H171" i="5" s="1"/>
  <c r="H172" i="5" s="1"/>
  <c r="B29" i="4"/>
  <c r="E30" i="4"/>
  <c r="H30" i="4"/>
  <c r="D230" i="5"/>
  <c r="B12" i="6"/>
  <c r="W8" i="7"/>
  <c r="Y8" i="7" s="1"/>
  <c r="S9" i="7" s="1"/>
  <c r="B34" i="4"/>
  <c r="D33" i="4"/>
  <c r="G28" i="4"/>
  <c r="B32" i="4"/>
  <c r="E34" i="4"/>
  <c r="F161" i="5"/>
  <c r="F162" i="5" s="1"/>
  <c r="F163" i="5" s="1"/>
  <c r="F164" i="5" s="1"/>
  <c r="F165" i="5" s="1"/>
  <c r="F166" i="5" s="1"/>
  <c r="F167" i="5" s="1"/>
  <c r="F168" i="5" s="1"/>
  <c r="F169" i="5" s="1"/>
  <c r="F170" i="5" s="1"/>
  <c r="F171" i="5" s="1"/>
  <c r="F172" i="5" s="1"/>
  <c r="C47" i="2"/>
  <c r="F33" i="4"/>
  <c r="F29" i="4"/>
  <c r="D48" i="4"/>
  <c r="H34" i="4"/>
  <c r="B30" i="4"/>
  <c r="F230" i="5"/>
  <c r="Q8" i="7"/>
  <c r="F48" i="5"/>
  <c r="C49" i="5"/>
  <c r="H8" i="7"/>
  <c r="C32" i="4"/>
  <c r="B31" i="4"/>
  <c r="G32" i="4"/>
  <c r="V9" i="7" l="1"/>
  <c r="U9" i="7"/>
  <c r="W9" i="7"/>
  <c r="X9" i="7"/>
  <c r="H230" i="5"/>
  <c r="K9" i="7"/>
  <c r="AA8" i="7"/>
  <c r="C231" i="5" s="1"/>
  <c r="C140" i="5"/>
  <c r="I139" i="5"/>
  <c r="G231" i="5"/>
  <c r="I8" i="7"/>
  <c r="C9" i="7" s="1"/>
  <c r="C50" i="5"/>
  <c r="F49" i="5"/>
  <c r="D231" i="5"/>
  <c r="E231" i="5"/>
  <c r="F231" i="5" l="1"/>
  <c r="H231" i="5" s="1"/>
  <c r="N9" i="7"/>
  <c r="M9" i="7"/>
  <c r="Q9" i="7" s="1"/>
  <c r="P9" i="7"/>
  <c r="O9" i="7"/>
  <c r="F50" i="5"/>
  <c r="C51" i="5"/>
  <c r="F9" i="7"/>
  <c r="E9" i="7"/>
  <c r="H9" i="7"/>
  <c r="G9" i="7"/>
  <c r="I140" i="5"/>
  <c r="C141" i="5"/>
  <c r="J137" i="5"/>
  <c r="K137" i="5" s="1"/>
  <c r="I230" i="5"/>
  <c r="J230" i="5" s="1"/>
  <c r="G48" i="5"/>
  <c r="H48" i="5" s="1"/>
  <c r="Y9" i="7"/>
  <c r="S10" i="7" s="1"/>
  <c r="K10" i="7" l="1"/>
  <c r="AA9" i="7"/>
  <c r="I141" i="5"/>
  <c r="C142" i="5"/>
  <c r="F51" i="5"/>
  <c r="C52" i="5"/>
  <c r="V10" i="7"/>
  <c r="U10" i="7"/>
  <c r="W10" i="7"/>
  <c r="X10" i="7"/>
  <c r="I9" i="7"/>
  <c r="C10" i="7" s="1"/>
  <c r="F10" i="7" l="1"/>
  <c r="E10" i="7"/>
  <c r="H10" i="7"/>
  <c r="G10" i="7"/>
  <c r="Y10" i="7"/>
  <c r="S11" i="7" s="1"/>
  <c r="F52" i="5"/>
  <c r="C53" i="5"/>
  <c r="C143" i="5"/>
  <c r="I142" i="5"/>
  <c r="I231" i="5"/>
  <c r="J231" i="5" s="1"/>
  <c r="G49" i="5"/>
  <c r="H49" i="5" s="1"/>
  <c r="J138" i="5"/>
  <c r="K138" i="5" s="1"/>
  <c r="F232" i="5"/>
  <c r="E232" i="5"/>
  <c r="C232" i="5"/>
  <c r="G232" i="5"/>
  <c r="D232" i="5"/>
  <c r="N10" i="7"/>
  <c r="M10" i="7"/>
  <c r="O10" i="7"/>
  <c r="P10" i="7"/>
  <c r="F53" i="5" l="1"/>
  <c r="C54" i="5"/>
  <c r="H232" i="5"/>
  <c r="I143" i="5"/>
  <c r="C144" i="5"/>
  <c r="V11" i="7"/>
  <c r="U11" i="7"/>
  <c r="Y11" i="7" s="1"/>
  <c r="S12" i="7" s="1"/>
  <c r="X11" i="7"/>
  <c r="W11" i="7"/>
  <c r="Q10" i="7"/>
  <c r="I10" i="7"/>
  <c r="C11" i="7" s="1"/>
  <c r="V12" i="7" l="1"/>
  <c r="U12" i="7"/>
  <c r="Y12" i="7" s="1"/>
  <c r="S13" i="7" s="1"/>
  <c r="W12" i="7"/>
  <c r="X12" i="7"/>
  <c r="C145" i="5"/>
  <c r="I144" i="5"/>
  <c r="F11" i="7"/>
  <c r="E11" i="7"/>
  <c r="G11" i="7"/>
  <c r="H11" i="7"/>
  <c r="C55" i="5"/>
  <c r="F54" i="5"/>
  <c r="K11" i="7"/>
  <c r="AA10" i="7"/>
  <c r="I11" i="7" l="1"/>
  <c r="C12" i="7" s="1"/>
  <c r="F12" i="7" s="1"/>
  <c r="E12" i="7"/>
  <c r="V13" i="7"/>
  <c r="U13" i="7"/>
  <c r="Y13" i="7" s="1"/>
  <c r="S14" i="7" s="1"/>
  <c r="X13" i="7"/>
  <c r="W13" i="7"/>
  <c r="I232" i="5"/>
  <c r="J232" i="5" s="1"/>
  <c r="G50" i="5"/>
  <c r="H50" i="5" s="1"/>
  <c r="J139" i="5"/>
  <c r="K139" i="5" s="1"/>
  <c r="F233" i="5"/>
  <c r="D233" i="5"/>
  <c r="G233" i="5"/>
  <c r="E233" i="5"/>
  <c r="C233" i="5"/>
  <c r="N11" i="7"/>
  <c r="Q11" i="7" s="1"/>
  <c r="M11" i="7"/>
  <c r="P11" i="7"/>
  <c r="O11" i="7"/>
  <c r="F55" i="5"/>
  <c r="C56" i="5"/>
  <c r="I145" i="5"/>
  <c r="C146" i="5"/>
  <c r="G12" i="7" l="1"/>
  <c r="H12" i="7"/>
  <c r="I12" i="7"/>
  <c r="C13" i="7" s="1"/>
  <c r="F13" i="7" s="1"/>
  <c r="K12" i="7"/>
  <c r="AA11" i="7"/>
  <c r="V14" i="7"/>
  <c r="U14" i="7"/>
  <c r="Y14" i="7" s="1"/>
  <c r="S15" i="7" s="1"/>
  <c r="X14" i="7"/>
  <c r="W14" i="7"/>
  <c r="H233" i="5"/>
  <c r="C234" i="5"/>
  <c r="G234" i="5"/>
  <c r="F234" i="5"/>
  <c r="F56" i="5"/>
  <c r="C57" i="5"/>
  <c r="E234" i="5"/>
  <c r="D234" i="5"/>
  <c r="I146" i="5"/>
  <c r="C147" i="5"/>
  <c r="H13" i="7" l="1"/>
  <c r="G13" i="7"/>
  <c r="E13" i="7"/>
  <c r="I13" i="7"/>
  <c r="C14" i="7" s="1"/>
  <c r="F14" i="7"/>
  <c r="E14" i="7"/>
  <c r="H14" i="7"/>
  <c r="G14" i="7"/>
  <c r="V15" i="7"/>
  <c r="U15" i="7"/>
  <c r="Y15" i="7" s="1"/>
  <c r="S16" i="7" s="1"/>
  <c r="X15" i="7"/>
  <c r="W15" i="7"/>
  <c r="F57" i="5"/>
  <c r="C58" i="5"/>
  <c r="H234" i="5"/>
  <c r="C148" i="5"/>
  <c r="I147" i="5"/>
  <c r="J140" i="5"/>
  <c r="K140" i="5" s="1"/>
  <c r="I233" i="5"/>
  <c r="J233" i="5" s="1"/>
  <c r="G51" i="5"/>
  <c r="H51" i="5" s="1"/>
  <c r="N12" i="7"/>
  <c r="M12" i="7"/>
  <c r="O12" i="7"/>
  <c r="P12" i="7"/>
  <c r="I14" i="7" l="1"/>
  <c r="C15" i="7" s="1"/>
  <c r="V16" i="7"/>
  <c r="U16" i="7"/>
  <c r="Y16" i="7" s="1"/>
  <c r="S17" i="7" s="1"/>
  <c r="W16" i="7"/>
  <c r="X16" i="7"/>
  <c r="F15" i="7"/>
  <c r="E15" i="7"/>
  <c r="H15" i="7"/>
  <c r="G15" i="7"/>
  <c r="C149" i="5"/>
  <c r="I148" i="5"/>
  <c r="F58" i="5"/>
  <c r="C59" i="5"/>
  <c r="Q12" i="7"/>
  <c r="I15" i="7" l="1"/>
  <c r="C16" i="7" s="1"/>
  <c r="F16" i="7" s="1"/>
  <c r="V17" i="7"/>
  <c r="U17" i="7"/>
  <c r="Y17" i="7" s="1"/>
  <c r="S18" i="7" s="1"/>
  <c r="W17" i="7"/>
  <c r="X17" i="7"/>
  <c r="K13" i="7"/>
  <c r="AA12" i="7"/>
  <c r="F59" i="5"/>
  <c r="C60" i="5"/>
  <c r="I149" i="5"/>
  <c r="C150" i="5"/>
  <c r="G16" i="7" l="1"/>
  <c r="H16" i="7"/>
  <c r="E16" i="7"/>
  <c r="I16" i="7"/>
  <c r="C17" i="7" s="1"/>
  <c r="F17" i="7" s="1"/>
  <c r="V18" i="7"/>
  <c r="U18" i="7"/>
  <c r="Y18" i="7" s="1"/>
  <c r="S19" i="7" s="1"/>
  <c r="W18" i="7"/>
  <c r="X18" i="7"/>
  <c r="F60" i="5"/>
  <c r="C61" i="5"/>
  <c r="C151" i="5"/>
  <c r="I150" i="5"/>
  <c r="I234" i="5"/>
  <c r="J234" i="5" s="1"/>
  <c r="G52" i="5"/>
  <c r="H52" i="5" s="1"/>
  <c r="J141" i="5"/>
  <c r="K141" i="5" s="1"/>
  <c r="G235" i="5"/>
  <c r="E235" i="5"/>
  <c r="D235" i="5"/>
  <c r="F235" i="5"/>
  <c r="C235" i="5"/>
  <c r="N13" i="7"/>
  <c r="M13" i="7"/>
  <c r="Q13" i="7" s="1"/>
  <c r="P13" i="7"/>
  <c r="O13" i="7"/>
  <c r="H17" i="7" l="1"/>
  <c r="E17" i="7"/>
  <c r="G17" i="7"/>
  <c r="K14" i="7"/>
  <c r="AA13" i="7"/>
  <c r="V19" i="7"/>
  <c r="B38" i="3" s="1"/>
  <c r="U19" i="7"/>
  <c r="B37" i="3" s="1"/>
  <c r="X19" i="7"/>
  <c r="B40" i="3" s="1"/>
  <c r="W19" i="7"/>
  <c r="B39" i="3" s="1"/>
  <c r="E236" i="5"/>
  <c r="C62" i="5"/>
  <c r="F61" i="5"/>
  <c r="D236" i="5"/>
  <c r="G236" i="5"/>
  <c r="C152" i="5"/>
  <c r="I151" i="5"/>
  <c r="H235" i="5"/>
  <c r="I17" i="7" l="1"/>
  <c r="C18" i="7" s="1"/>
  <c r="Y19" i="7"/>
  <c r="I235" i="5"/>
  <c r="J235" i="5" s="1"/>
  <c r="J142" i="5"/>
  <c r="K142" i="5" s="1"/>
  <c r="G53" i="5"/>
  <c r="H53" i="5" s="1"/>
  <c r="I152" i="5"/>
  <c r="C153" i="5"/>
  <c r="C63" i="5"/>
  <c r="F62" i="5"/>
  <c r="F236" i="5"/>
  <c r="C236" i="5"/>
  <c r="N14" i="7"/>
  <c r="M14" i="7"/>
  <c r="Q14" i="7" s="1"/>
  <c r="O14" i="7"/>
  <c r="P14" i="7"/>
  <c r="F18" i="7" l="1"/>
  <c r="E18" i="7"/>
  <c r="H18" i="7"/>
  <c r="G18" i="7"/>
  <c r="K15" i="7"/>
  <c r="AA14" i="7"/>
  <c r="C237" i="5" s="1"/>
  <c r="H236" i="5"/>
  <c r="F63" i="5"/>
  <c r="C64" i="5"/>
  <c r="C154" i="5"/>
  <c r="I153" i="5"/>
  <c r="S20" i="7"/>
  <c r="B41" i="3"/>
  <c r="F41" i="3" s="1"/>
  <c r="C9" i="3"/>
  <c r="B15" i="3" s="1"/>
  <c r="C35" i="3"/>
  <c r="B47" i="3"/>
  <c r="F237" i="5"/>
  <c r="I18" i="7" l="1"/>
  <c r="C19" i="7" s="1"/>
  <c r="V20" i="7"/>
  <c r="U20" i="7"/>
  <c r="X20" i="7"/>
  <c r="W20" i="7"/>
  <c r="C155" i="5"/>
  <c r="I154" i="5"/>
  <c r="F64" i="5"/>
  <c r="C65" i="5"/>
  <c r="I236" i="5"/>
  <c r="J236" i="5" s="1"/>
  <c r="G54" i="5"/>
  <c r="H54" i="5" s="1"/>
  <c r="J143" i="5"/>
  <c r="K143" i="5" s="1"/>
  <c r="E237" i="5"/>
  <c r="G237" i="5"/>
  <c r="D237" i="5"/>
  <c r="N15" i="7"/>
  <c r="M15" i="7"/>
  <c r="Q15" i="7" s="1"/>
  <c r="O15" i="7"/>
  <c r="P15" i="7"/>
  <c r="H237" i="5" l="1"/>
  <c r="E19" i="7"/>
  <c r="B21" i="3" s="1"/>
  <c r="G19" i="7"/>
  <c r="B23" i="3" s="1"/>
  <c r="H19" i="7"/>
  <c r="B24" i="3" s="1"/>
  <c r="F19" i="7"/>
  <c r="B22" i="3" s="1"/>
  <c r="K16" i="7"/>
  <c r="AA15" i="7"/>
  <c r="F65" i="5"/>
  <c r="C66" i="5"/>
  <c r="C156" i="5"/>
  <c r="I155" i="5"/>
  <c r="D238" i="5"/>
  <c r="Y20" i="7"/>
  <c r="S21" i="7" s="1"/>
  <c r="G238" i="5"/>
  <c r="E238" i="5"/>
  <c r="I19" i="7" l="1"/>
  <c r="V21" i="7"/>
  <c r="U21" i="7"/>
  <c r="X21" i="7"/>
  <c r="W21" i="7"/>
  <c r="C157" i="5"/>
  <c r="I156" i="5"/>
  <c r="I237" i="5"/>
  <c r="J237" i="5" s="1"/>
  <c r="G55" i="5"/>
  <c r="H55" i="5" s="1"/>
  <c r="J144" i="5"/>
  <c r="K144" i="5" s="1"/>
  <c r="F238" i="5"/>
  <c r="C238" i="5"/>
  <c r="C67" i="5"/>
  <c r="F66" i="5"/>
  <c r="N16" i="7"/>
  <c r="M16" i="7"/>
  <c r="Q16" i="7" s="1"/>
  <c r="P16" i="7"/>
  <c r="O16" i="7"/>
  <c r="C20" i="7" l="1"/>
  <c r="B45" i="3"/>
  <c r="B25" i="3"/>
  <c r="F25" i="3" s="1"/>
  <c r="C19" i="3"/>
  <c r="C7" i="3"/>
  <c r="B13" i="3" s="1"/>
  <c r="K17" i="7"/>
  <c r="AA16" i="7"/>
  <c r="F239" i="5" s="1"/>
  <c r="C158" i="5"/>
  <c r="I157" i="5"/>
  <c r="H238" i="5"/>
  <c r="C239" i="5"/>
  <c r="Y21" i="7"/>
  <c r="S22" i="7" s="1"/>
  <c r="C68" i="5"/>
  <c r="F67" i="5"/>
  <c r="F20" i="7" l="1"/>
  <c r="I20" i="7" s="1"/>
  <c r="C21" i="7" s="1"/>
  <c r="H20" i="7"/>
  <c r="G20" i="7"/>
  <c r="E20" i="7"/>
  <c r="C69" i="5"/>
  <c r="F68" i="5"/>
  <c r="V22" i="7"/>
  <c r="U22" i="7"/>
  <c r="W22" i="7"/>
  <c r="X22" i="7"/>
  <c r="C159" i="5"/>
  <c r="I158" i="5"/>
  <c r="J145" i="5"/>
  <c r="K145" i="5" s="1"/>
  <c r="I238" i="5"/>
  <c r="J238" i="5" s="1"/>
  <c r="G56" i="5"/>
  <c r="H56" i="5" s="1"/>
  <c r="E239" i="5"/>
  <c r="G239" i="5"/>
  <c r="D239" i="5"/>
  <c r="N17" i="7"/>
  <c r="M17" i="7"/>
  <c r="Q17" i="7" s="1"/>
  <c r="P17" i="7"/>
  <c r="O17" i="7"/>
  <c r="H239" i="5" l="1"/>
  <c r="E21" i="7"/>
  <c r="F21" i="7"/>
  <c r="G21" i="7"/>
  <c r="H21" i="7"/>
  <c r="K18" i="7"/>
  <c r="AA17" i="7"/>
  <c r="I159" i="5"/>
  <c r="C160" i="5"/>
  <c r="Y22" i="7"/>
  <c r="S23" i="7" s="1"/>
  <c r="D240" i="5"/>
  <c r="G240" i="5"/>
  <c r="E240" i="5"/>
  <c r="F69" i="5"/>
  <c r="C70" i="5"/>
  <c r="I21" i="7" l="1"/>
  <c r="C22" i="7" s="1"/>
  <c r="C71" i="5"/>
  <c r="F70" i="5"/>
  <c r="V23" i="7"/>
  <c r="U23" i="7"/>
  <c r="Y23" i="7" s="1"/>
  <c r="S24" i="7" s="1"/>
  <c r="X23" i="7"/>
  <c r="W23" i="7"/>
  <c r="C161" i="5"/>
  <c r="I160" i="5"/>
  <c r="I239" i="5"/>
  <c r="J239" i="5" s="1"/>
  <c r="J146" i="5"/>
  <c r="K146" i="5" s="1"/>
  <c r="G57" i="5"/>
  <c r="H57" i="5" s="1"/>
  <c r="C240" i="5"/>
  <c r="F240" i="5"/>
  <c r="N18" i="7"/>
  <c r="M18" i="7"/>
  <c r="Q18" i="7" s="1"/>
  <c r="P18" i="7"/>
  <c r="O18" i="7"/>
  <c r="F22" i="7" l="1"/>
  <c r="E22" i="7"/>
  <c r="H22" i="7"/>
  <c r="G22" i="7"/>
  <c r="K19" i="7"/>
  <c r="AA18" i="7"/>
  <c r="C241" i="5" s="1"/>
  <c r="Y24" i="7"/>
  <c r="S25" i="7" s="1"/>
  <c r="V24" i="7"/>
  <c r="U24" i="7"/>
  <c r="W24" i="7"/>
  <c r="X24" i="7"/>
  <c r="C72" i="5"/>
  <c r="F71" i="5"/>
  <c r="C162" i="5"/>
  <c r="I161" i="5"/>
  <c r="F241" i="5"/>
  <c r="H240" i="5"/>
  <c r="I22" i="7" l="1"/>
  <c r="C23" i="7" s="1"/>
  <c r="I162" i="5"/>
  <c r="C163" i="5"/>
  <c r="V25" i="7"/>
  <c r="U25" i="7"/>
  <c r="Y25" i="7" s="1"/>
  <c r="S26" i="7" s="1"/>
  <c r="X25" i="7"/>
  <c r="W25" i="7"/>
  <c r="F72" i="5"/>
  <c r="C73" i="5"/>
  <c r="J147" i="5"/>
  <c r="K147" i="5" s="1"/>
  <c r="G58" i="5"/>
  <c r="H58" i="5" s="1"/>
  <c r="I240" i="5"/>
  <c r="J240" i="5" s="1"/>
  <c r="G241" i="5"/>
  <c r="E241" i="5"/>
  <c r="D241" i="5"/>
  <c r="H241" i="5" s="1"/>
  <c r="N19" i="7"/>
  <c r="B30" i="3" s="1"/>
  <c r="M19" i="7"/>
  <c r="B29" i="3" s="1"/>
  <c r="P19" i="7"/>
  <c r="B32" i="3" s="1"/>
  <c r="O19" i="7"/>
  <c r="B31" i="3" s="1"/>
  <c r="F23" i="7" l="1"/>
  <c r="E23" i="7"/>
  <c r="H23" i="7"/>
  <c r="G23" i="7"/>
  <c r="V26" i="7"/>
  <c r="U26" i="7"/>
  <c r="Y26" i="7" s="1"/>
  <c r="S27" i="7" s="1"/>
  <c r="X26" i="7"/>
  <c r="W26" i="7"/>
  <c r="F73" i="5"/>
  <c r="C74" i="5"/>
  <c r="I163" i="5"/>
  <c r="C164" i="5"/>
  <c r="Q19" i="7"/>
  <c r="I23" i="7" l="1"/>
  <c r="C24" i="7" s="1"/>
  <c r="V27" i="7"/>
  <c r="U27" i="7"/>
  <c r="Y27" i="7" s="1"/>
  <c r="S28" i="7" s="1"/>
  <c r="W27" i="7"/>
  <c r="X27" i="7"/>
  <c r="B46" i="3"/>
  <c r="C27" i="3"/>
  <c r="B33" i="3"/>
  <c r="F33" i="3" s="1"/>
  <c r="C8" i="3"/>
  <c r="B14" i="3" s="1"/>
  <c r="K20" i="7"/>
  <c r="AA19" i="7"/>
  <c r="I164" i="5"/>
  <c r="C165" i="5"/>
  <c r="C75" i="5"/>
  <c r="F74" i="5"/>
  <c r="F24" i="7" l="1"/>
  <c r="E24" i="7"/>
  <c r="H24" i="7"/>
  <c r="G24" i="7"/>
  <c r="V28" i="7"/>
  <c r="U28" i="7"/>
  <c r="Y28" i="7" s="1"/>
  <c r="S29" i="7" s="1"/>
  <c r="X28" i="7"/>
  <c r="W28" i="7"/>
  <c r="C166" i="5"/>
  <c r="I165" i="5"/>
  <c r="I241" i="5"/>
  <c r="J241" i="5" s="1"/>
  <c r="J148" i="5"/>
  <c r="K148" i="5" s="1"/>
  <c r="G59" i="5"/>
  <c r="H59" i="5" s="1"/>
  <c r="C242" i="5"/>
  <c r="F242" i="5"/>
  <c r="G242" i="5"/>
  <c r="D242" i="5"/>
  <c r="E242" i="5"/>
  <c r="C76" i="5"/>
  <c r="F75" i="5"/>
  <c r="N20" i="7"/>
  <c r="M20" i="7"/>
  <c r="O20" i="7"/>
  <c r="P20" i="7"/>
  <c r="I24" i="7" l="1"/>
  <c r="C25" i="7" s="1"/>
  <c r="V29" i="7"/>
  <c r="U29" i="7"/>
  <c r="Y29" i="7" s="1"/>
  <c r="S30" i="7" s="1"/>
  <c r="X29" i="7"/>
  <c r="W29" i="7"/>
  <c r="D86" i="5"/>
  <c r="E86" i="5"/>
  <c r="C86" i="5"/>
  <c r="F86" i="5" s="1"/>
  <c r="C268" i="5"/>
  <c r="F268" i="5"/>
  <c r="D268" i="5"/>
  <c r="E268" i="5"/>
  <c r="G268" i="5"/>
  <c r="Q20" i="7"/>
  <c r="H242" i="5"/>
  <c r="G175" i="5"/>
  <c r="D175" i="5"/>
  <c r="H175" i="5"/>
  <c r="E175" i="5"/>
  <c r="F175" i="5"/>
  <c r="C175" i="5"/>
  <c r="I166" i="5"/>
  <c r="C167" i="5"/>
  <c r="C77" i="5"/>
  <c r="F76" i="5"/>
  <c r="I175" i="5" l="1"/>
  <c r="F25" i="7"/>
  <c r="E25" i="7"/>
  <c r="G25" i="7"/>
  <c r="H25" i="7"/>
  <c r="V30" i="7"/>
  <c r="U30" i="7"/>
  <c r="Y30" i="7" s="1"/>
  <c r="S31" i="7" s="1"/>
  <c r="X30" i="7"/>
  <c r="W30" i="7"/>
  <c r="F77" i="5"/>
  <c r="C78" i="5"/>
  <c r="I167" i="5"/>
  <c r="C168" i="5"/>
  <c r="H268" i="5"/>
  <c r="K21" i="7"/>
  <c r="AA20" i="7"/>
  <c r="I25" i="7" l="1"/>
  <c r="C26" i="7" s="1"/>
  <c r="V31" i="7"/>
  <c r="C38" i="3" s="1"/>
  <c r="U31" i="7"/>
  <c r="C37" i="3" s="1"/>
  <c r="W31" i="7"/>
  <c r="C39" i="3" s="1"/>
  <c r="X31" i="7"/>
  <c r="C40" i="3" s="1"/>
  <c r="N21" i="7"/>
  <c r="M21" i="7"/>
  <c r="O21" i="7"/>
  <c r="P21" i="7"/>
  <c r="C169" i="5"/>
  <c r="I168" i="5"/>
  <c r="I242" i="5"/>
  <c r="J242" i="5" s="1"/>
  <c r="J149" i="5"/>
  <c r="K149" i="5" s="1"/>
  <c r="G60" i="5"/>
  <c r="H60" i="5" s="1"/>
  <c r="C243" i="5"/>
  <c r="D243" i="5"/>
  <c r="E243" i="5"/>
  <c r="G243" i="5"/>
  <c r="F243" i="5"/>
  <c r="C79" i="5"/>
  <c r="F78" i="5"/>
  <c r="F26" i="7" l="1"/>
  <c r="E26" i="7"/>
  <c r="H26" i="7"/>
  <c r="G26" i="7"/>
  <c r="C170" i="5"/>
  <c r="I169" i="5"/>
  <c r="F79" i="5"/>
  <c r="C80" i="5"/>
  <c r="Q21" i="7"/>
  <c r="H243" i="5"/>
  <c r="Y31" i="7"/>
  <c r="I26" i="7" l="1"/>
  <c r="C27" i="7" s="1"/>
  <c r="K22" i="7"/>
  <c r="AA21" i="7"/>
  <c r="C81" i="5"/>
  <c r="F80" i="5"/>
  <c r="C171" i="5"/>
  <c r="I170" i="5"/>
  <c r="S32" i="7"/>
  <c r="D9" i="3"/>
  <c r="C15" i="3" s="1"/>
  <c r="D35" i="3"/>
  <c r="C41" i="3"/>
  <c r="C47" i="3"/>
  <c r="F27" i="7" l="1"/>
  <c r="E27" i="7"/>
  <c r="H27" i="7"/>
  <c r="G27" i="7"/>
  <c r="I171" i="5"/>
  <c r="C172" i="5"/>
  <c r="I243" i="5"/>
  <c r="J243" i="5" s="1"/>
  <c r="G61" i="5"/>
  <c r="H61" i="5" s="1"/>
  <c r="J150" i="5"/>
  <c r="K150" i="5" s="1"/>
  <c r="E244" i="5"/>
  <c r="D244" i="5"/>
  <c r="C244" i="5"/>
  <c r="F244" i="5"/>
  <c r="G244" i="5"/>
  <c r="V32" i="7"/>
  <c r="U32" i="7"/>
  <c r="W32" i="7"/>
  <c r="X32" i="7"/>
  <c r="C82" i="5"/>
  <c r="F81" i="5"/>
  <c r="N22" i="7"/>
  <c r="M22" i="7"/>
  <c r="O22" i="7"/>
  <c r="P22" i="7"/>
  <c r="I27" i="7" l="1"/>
  <c r="C28" i="7" s="1"/>
  <c r="Y32" i="7"/>
  <c r="S33" i="7" s="1"/>
  <c r="Q22" i="7"/>
  <c r="I172" i="5"/>
  <c r="C83" i="5"/>
  <c r="F82" i="5"/>
  <c r="H244" i="5"/>
  <c r="F28" i="7" l="1"/>
  <c r="E28" i="7"/>
  <c r="H28" i="7"/>
  <c r="G28" i="7"/>
  <c r="F83" i="5"/>
  <c r="K23" i="7"/>
  <c r="AA22" i="7"/>
  <c r="V33" i="7"/>
  <c r="U33" i="7"/>
  <c r="X33" i="7"/>
  <c r="W33" i="7"/>
  <c r="I28" i="7" l="1"/>
  <c r="C29" i="7" s="1"/>
  <c r="I244" i="5"/>
  <c r="J244" i="5" s="1"/>
  <c r="G62" i="5"/>
  <c r="H62" i="5" s="1"/>
  <c r="J151" i="5"/>
  <c r="K151" i="5" s="1"/>
  <c r="E245" i="5"/>
  <c r="G245" i="5"/>
  <c r="D245" i="5"/>
  <c r="C245" i="5"/>
  <c r="F245" i="5"/>
  <c r="N23" i="7"/>
  <c r="M23" i="7"/>
  <c r="Q23" i="7" s="1"/>
  <c r="P23" i="7"/>
  <c r="O23" i="7"/>
  <c r="Y33" i="7"/>
  <c r="S34" i="7" s="1"/>
  <c r="F29" i="7" l="1"/>
  <c r="E29" i="7"/>
  <c r="G29" i="7"/>
  <c r="H29" i="7"/>
  <c r="K24" i="7"/>
  <c r="AA23" i="7"/>
  <c r="E246" i="5"/>
  <c r="D246" i="5"/>
  <c r="V34" i="7"/>
  <c r="U34" i="7"/>
  <c r="X34" i="7"/>
  <c r="W34" i="7"/>
  <c r="F246" i="5"/>
  <c r="H245" i="5"/>
  <c r="C246" i="5"/>
  <c r="G246" i="5"/>
  <c r="I29" i="7" l="1"/>
  <c r="C30" i="7" s="1"/>
  <c r="H246" i="5"/>
  <c r="Y34" i="7"/>
  <c r="S35" i="7" s="1"/>
  <c r="I245" i="5"/>
  <c r="J245" i="5" s="1"/>
  <c r="G63" i="5"/>
  <c r="H63" i="5" s="1"/>
  <c r="J152" i="5"/>
  <c r="K152" i="5" s="1"/>
  <c r="N24" i="7"/>
  <c r="M24" i="7"/>
  <c r="Q24" i="7" s="1"/>
  <c r="O24" i="7"/>
  <c r="P24" i="7"/>
  <c r="F30" i="7" l="1"/>
  <c r="E30" i="7"/>
  <c r="G30" i="7"/>
  <c r="H30" i="7"/>
  <c r="K25" i="7"/>
  <c r="AA24" i="7"/>
  <c r="V35" i="7"/>
  <c r="U35" i="7"/>
  <c r="Y35" i="7" s="1"/>
  <c r="S36" i="7" s="1"/>
  <c r="W35" i="7"/>
  <c r="X35" i="7"/>
  <c r="I30" i="7" l="1"/>
  <c r="C31" i="7" s="1"/>
  <c r="V36" i="7"/>
  <c r="U36" i="7"/>
  <c r="Y36" i="7" s="1"/>
  <c r="S37" i="7" s="1"/>
  <c r="X36" i="7"/>
  <c r="W36" i="7"/>
  <c r="I246" i="5"/>
  <c r="J246" i="5" s="1"/>
  <c r="J153" i="5"/>
  <c r="K153" i="5" s="1"/>
  <c r="G64" i="5"/>
  <c r="H64" i="5" s="1"/>
  <c r="E247" i="5"/>
  <c r="C247" i="5"/>
  <c r="F247" i="5"/>
  <c r="D247" i="5"/>
  <c r="G247" i="5"/>
  <c r="N25" i="7"/>
  <c r="M25" i="7"/>
  <c r="Q25" i="7" s="1"/>
  <c r="O25" i="7"/>
  <c r="P25" i="7"/>
  <c r="F31" i="7" l="1"/>
  <c r="C22" i="3" s="1"/>
  <c r="E31" i="7"/>
  <c r="C21" i="3" s="1"/>
  <c r="G31" i="7"/>
  <c r="C23" i="3" s="1"/>
  <c r="H31" i="7"/>
  <c r="C24" i="3" s="1"/>
  <c r="K26" i="7"/>
  <c r="AA25" i="7"/>
  <c r="G248" i="5" s="1"/>
  <c r="V37" i="7"/>
  <c r="U37" i="7"/>
  <c r="Y37" i="7" s="1"/>
  <c r="S38" i="7" s="1"/>
  <c r="W37" i="7"/>
  <c r="X37" i="7"/>
  <c r="F248" i="5"/>
  <c r="E248" i="5"/>
  <c r="D248" i="5"/>
  <c r="C248" i="5"/>
  <c r="H247" i="5"/>
  <c r="I31" i="7" l="1"/>
  <c r="V38" i="7"/>
  <c r="U38" i="7"/>
  <c r="Y38" i="7" s="1"/>
  <c r="S39" i="7" s="1"/>
  <c r="W38" i="7"/>
  <c r="X38" i="7"/>
  <c r="J154" i="5"/>
  <c r="K154" i="5" s="1"/>
  <c r="I247" i="5"/>
  <c r="J247" i="5" s="1"/>
  <c r="G65" i="5"/>
  <c r="H65" i="5" s="1"/>
  <c r="H248" i="5"/>
  <c r="Q26" i="7"/>
  <c r="N26" i="7"/>
  <c r="M26" i="7"/>
  <c r="P26" i="7"/>
  <c r="O26" i="7"/>
  <c r="C45" i="3" l="1"/>
  <c r="C32" i="7"/>
  <c r="D19" i="3"/>
  <c r="C25" i="3"/>
  <c r="D7" i="3"/>
  <c r="C13" i="3" s="1"/>
  <c r="V39" i="7"/>
  <c r="U39" i="7"/>
  <c r="Y39" i="7" s="1"/>
  <c r="S40" i="7" s="1"/>
  <c r="X39" i="7"/>
  <c r="W39" i="7"/>
  <c r="K27" i="7"/>
  <c r="AA26" i="7"/>
  <c r="F32" i="7" l="1"/>
  <c r="E32" i="7"/>
  <c r="H32" i="7"/>
  <c r="G32" i="7"/>
  <c r="I32" i="7"/>
  <c r="C33" i="7" s="1"/>
  <c r="V40" i="7"/>
  <c r="U40" i="7"/>
  <c r="Y40" i="7" s="1"/>
  <c r="S41" i="7" s="1"/>
  <c r="X40" i="7"/>
  <c r="W40" i="7"/>
  <c r="I248" i="5"/>
  <c r="J248" i="5" s="1"/>
  <c r="J155" i="5"/>
  <c r="K155" i="5" s="1"/>
  <c r="G66" i="5"/>
  <c r="H66" i="5" s="1"/>
  <c r="D249" i="5"/>
  <c r="F249" i="5"/>
  <c r="G249" i="5"/>
  <c r="E249" i="5"/>
  <c r="C249" i="5"/>
  <c r="N27" i="7"/>
  <c r="Q27" i="7" s="1"/>
  <c r="M27" i="7"/>
  <c r="O27" i="7"/>
  <c r="P27" i="7"/>
  <c r="F33" i="7" l="1"/>
  <c r="E33" i="7"/>
  <c r="G33" i="7"/>
  <c r="H33" i="7"/>
  <c r="K28" i="7"/>
  <c r="AA27" i="7"/>
  <c r="D250" i="5" s="1"/>
  <c r="V41" i="7"/>
  <c r="U41" i="7"/>
  <c r="Y41" i="7" s="1"/>
  <c r="S42" i="7" s="1"/>
  <c r="W41" i="7"/>
  <c r="X41" i="7"/>
  <c r="C250" i="5"/>
  <c r="H249" i="5"/>
  <c r="G250" i="5"/>
  <c r="F250" i="5"/>
  <c r="E250" i="5"/>
  <c r="I33" i="7" l="1"/>
  <c r="C34" i="7" s="1"/>
  <c r="F34" i="7"/>
  <c r="E34" i="7"/>
  <c r="H34" i="7"/>
  <c r="G34" i="7"/>
  <c r="I34" i="7"/>
  <c r="C35" i="7" s="1"/>
  <c r="Y42" i="7"/>
  <c r="S43" i="7" s="1"/>
  <c r="V42" i="7"/>
  <c r="U42" i="7"/>
  <c r="W42" i="7"/>
  <c r="X42" i="7"/>
  <c r="H250" i="5"/>
  <c r="J156" i="5"/>
  <c r="K156" i="5" s="1"/>
  <c r="I249" i="5"/>
  <c r="J249" i="5" s="1"/>
  <c r="G67" i="5"/>
  <c r="H67" i="5" s="1"/>
  <c r="N28" i="7"/>
  <c r="Q28" i="7" s="1"/>
  <c r="M28" i="7"/>
  <c r="P28" i="7"/>
  <c r="O28" i="7"/>
  <c r="F35" i="7" l="1"/>
  <c r="E35" i="7"/>
  <c r="G35" i="7"/>
  <c r="H35" i="7"/>
  <c r="K29" i="7"/>
  <c r="AA28" i="7"/>
  <c r="V43" i="7"/>
  <c r="D38" i="3" s="1"/>
  <c r="E38" i="3" s="1"/>
  <c r="U43" i="7"/>
  <c r="D37" i="3" s="1"/>
  <c r="E37" i="3" s="1"/>
  <c r="X43" i="7"/>
  <c r="D40" i="3" s="1"/>
  <c r="E40" i="3" s="1"/>
  <c r="W43" i="7"/>
  <c r="D39" i="3" s="1"/>
  <c r="E39" i="3" s="1"/>
  <c r="I35" i="7" l="1"/>
  <c r="C36" i="7" s="1"/>
  <c r="Y43" i="7"/>
  <c r="J157" i="5"/>
  <c r="K157" i="5" s="1"/>
  <c r="I250" i="5"/>
  <c r="J250" i="5" s="1"/>
  <c r="G68" i="5"/>
  <c r="H68" i="5" s="1"/>
  <c r="D251" i="5"/>
  <c r="E251" i="5"/>
  <c r="G251" i="5"/>
  <c r="F251" i="5"/>
  <c r="C251" i="5"/>
  <c r="N29" i="7"/>
  <c r="M29" i="7"/>
  <c r="Q29" i="7" s="1"/>
  <c r="P29" i="7"/>
  <c r="O29" i="7"/>
  <c r="F36" i="7" l="1"/>
  <c r="E36" i="7"/>
  <c r="H36" i="7"/>
  <c r="G36" i="7"/>
  <c r="K30" i="7"/>
  <c r="AA29" i="7"/>
  <c r="E252" i="5"/>
  <c r="H251" i="5"/>
  <c r="C252" i="5"/>
  <c r="F252" i="5"/>
  <c r="G252" i="5"/>
  <c r="D252" i="5"/>
  <c r="D47" i="3"/>
  <c r="E47" i="3" s="1"/>
  <c r="E9" i="3"/>
  <c r="E41" i="3"/>
  <c r="D41" i="3"/>
  <c r="I36" i="7" l="1"/>
  <c r="C37" i="7" s="1"/>
  <c r="D15" i="3"/>
  <c r="F9" i="3"/>
  <c r="G9" i="3"/>
  <c r="H252" i="5"/>
  <c r="J158" i="5"/>
  <c r="K158" i="5" s="1"/>
  <c r="I251" i="5"/>
  <c r="J251" i="5" s="1"/>
  <c r="G69" i="5"/>
  <c r="H69" i="5" s="1"/>
  <c r="N30" i="7"/>
  <c r="M30" i="7"/>
  <c r="Q30" i="7" s="1"/>
  <c r="P30" i="7"/>
  <c r="O30" i="7"/>
  <c r="F37" i="7" l="1"/>
  <c r="E37" i="7"/>
  <c r="H37" i="7"/>
  <c r="G37" i="7"/>
  <c r="K31" i="7"/>
  <c r="AA30" i="7"/>
  <c r="I37" i="7" l="1"/>
  <c r="C38" i="7" s="1"/>
  <c r="J159" i="5"/>
  <c r="K159" i="5" s="1"/>
  <c r="I252" i="5"/>
  <c r="J252" i="5" s="1"/>
  <c r="G70" i="5"/>
  <c r="H70" i="5" s="1"/>
  <c r="G253" i="5"/>
  <c r="D253" i="5"/>
  <c r="F253" i="5"/>
  <c r="C253" i="5"/>
  <c r="E253" i="5"/>
  <c r="N31" i="7"/>
  <c r="C30" i="3" s="1"/>
  <c r="M31" i="7"/>
  <c r="C29" i="3" s="1"/>
  <c r="O31" i="7"/>
  <c r="C31" i="3" s="1"/>
  <c r="P31" i="7"/>
  <c r="C32" i="3" s="1"/>
  <c r="F38" i="7" l="1"/>
  <c r="E38" i="7"/>
  <c r="H38" i="7"/>
  <c r="G38" i="7"/>
  <c r="Q31" i="7"/>
  <c r="H253" i="5"/>
  <c r="I38" i="7" l="1"/>
  <c r="C39" i="7" s="1"/>
  <c r="C46" i="3"/>
  <c r="D27" i="3"/>
  <c r="K32" i="7"/>
  <c r="C33" i="3"/>
  <c r="D8" i="3"/>
  <c r="C14" i="3" s="1"/>
  <c r="AA31" i="7"/>
  <c r="F39" i="7" l="1"/>
  <c r="E39" i="7"/>
  <c r="H39" i="7"/>
  <c r="G39" i="7"/>
  <c r="J160" i="5"/>
  <c r="K160" i="5" s="1"/>
  <c r="G71" i="5"/>
  <c r="H71" i="5" s="1"/>
  <c r="I253" i="5"/>
  <c r="J253" i="5" s="1"/>
  <c r="G254" i="5"/>
  <c r="E254" i="5"/>
  <c r="C254" i="5"/>
  <c r="F254" i="5"/>
  <c r="D254" i="5"/>
  <c r="N32" i="7"/>
  <c r="M32" i="7"/>
  <c r="O32" i="7"/>
  <c r="P32" i="7"/>
  <c r="I39" i="7" l="1"/>
  <c r="C40" i="7" s="1"/>
  <c r="Q32" i="7"/>
  <c r="D87" i="5"/>
  <c r="E87" i="5"/>
  <c r="C87" i="5"/>
  <c r="F87" i="5" s="1"/>
  <c r="H254" i="5"/>
  <c r="G269" i="5"/>
  <c r="E269" i="5"/>
  <c r="C269" i="5"/>
  <c r="F269" i="5"/>
  <c r="D269" i="5"/>
  <c r="G176" i="5"/>
  <c r="D176" i="5"/>
  <c r="E176" i="5"/>
  <c r="F176" i="5"/>
  <c r="H176" i="5"/>
  <c r="C176" i="5"/>
  <c r="H269" i="5" l="1"/>
  <c r="F40" i="7"/>
  <c r="E40" i="7"/>
  <c r="H40" i="7"/>
  <c r="G40" i="7"/>
  <c r="I176" i="5"/>
  <c r="K33" i="7"/>
  <c r="AA32" i="7"/>
  <c r="I40" i="7" l="1"/>
  <c r="C41" i="7" s="1"/>
  <c r="I254" i="5"/>
  <c r="J254" i="5" s="1"/>
  <c r="J161" i="5"/>
  <c r="K161" i="5" s="1"/>
  <c r="G72" i="5"/>
  <c r="H72" i="5" s="1"/>
  <c r="F255" i="5"/>
  <c r="G255" i="5"/>
  <c r="D255" i="5"/>
  <c r="C255" i="5"/>
  <c r="E255" i="5"/>
  <c r="N33" i="7"/>
  <c r="M33" i="7"/>
  <c r="O33" i="7"/>
  <c r="P33" i="7"/>
  <c r="F41" i="7" l="1"/>
  <c r="E41" i="7"/>
  <c r="G41" i="7"/>
  <c r="H41" i="7"/>
  <c r="Q33" i="7"/>
  <c r="H255" i="5"/>
  <c r="I41" i="7" l="1"/>
  <c r="C42" i="7" s="1"/>
  <c r="K34" i="7"/>
  <c r="AA33" i="7"/>
  <c r="F42" i="7" l="1"/>
  <c r="E42" i="7"/>
  <c r="H42" i="7"/>
  <c r="G42" i="7"/>
  <c r="I255" i="5"/>
  <c r="J255" i="5" s="1"/>
  <c r="J162" i="5"/>
  <c r="K162" i="5" s="1"/>
  <c r="G73" i="5"/>
  <c r="H73" i="5" s="1"/>
  <c r="E256" i="5"/>
  <c r="C256" i="5"/>
  <c r="G256" i="5"/>
  <c r="F256" i="5"/>
  <c r="D256" i="5"/>
  <c r="N34" i="7"/>
  <c r="M34" i="7"/>
  <c r="Q34" i="7" s="1"/>
  <c r="O34" i="7"/>
  <c r="P34" i="7"/>
  <c r="I42" i="7" l="1"/>
  <c r="C43" i="7" s="1"/>
  <c r="K35" i="7"/>
  <c r="AA34" i="7"/>
  <c r="F257" i="5"/>
  <c r="C257" i="5"/>
  <c r="H256" i="5"/>
  <c r="D257" i="5"/>
  <c r="G257" i="5"/>
  <c r="E257" i="5"/>
  <c r="F43" i="7" l="1"/>
  <c r="D22" i="3" s="1"/>
  <c r="E22" i="3" s="1"/>
  <c r="E43" i="7"/>
  <c r="D21" i="3" s="1"/>
  <c r="E21" i="3" s="1"/>
  <c r="G43" i="7"/>
  <c r="D23" i="3" s="1"/>
  <c r="E23" i="3" s="1"/>
  <c r="H43" i="7"/>
  <c r="D24" i="3" s="1"/>
  <c r="E24" i="3" s="1"/>
  <c r="I43" i="7"/>
  <c r="H257" i="5"/>
  <c r="J163" i="5"/>
  <c r="K163" i="5" s="1"/>
  <c r="I256" i="5"/>
  <c r="J256" i="5" s="1"/>
  <c r="G74" i="5"/>
  <c r="H74" i="5" s="1"/>
  <c r="N35" i="7"/>
  <c r="M35" i="7"/>
  <c r="Q35" i="7" s="1"/>
  <c r="O35" i="7"/>
  <c r="P35" i="7"/>
  <c r="D45" i="3" l="1"/>
  <c r="E45" i="3" s="1"/>
  <c r="D25" i="3"/>
  <c r="E7" i="3"/>
  <c r="E25" i="3"/>
  <c r="K36" i="7"/>
  <c r="AA35" i="7"/>
  <c r="F7" i="3" l="1"/>
  <c r="G7" i="3"/>
  <c r="D13" i="3"/>
  <c r="I257" i="5"/>
  <c r="J257" i="5" s="1"/>
  <c r="G75" i="5"/>
  <c r="H75" i="5" s="1"/>
  <c r="J164" i="5"/>
  <c r="K164" i="5" s="1"/>
  <c r="E258" i="5"/>
  <c r="D258" i="5"/>
  <c r="C258" i="5"/>
  <c r="F258" i="5"/>
  <c r="G258" i="5"/>
  <c r="N36" i="7"/>
  <c r="M36" i="7"/>
  <c r="Q36" i="7" s="1"/>
  <c r="O36" i="7"/>
  <c r="P36" i="7"/>
  <c r="K37" i="7" l="1"/>
  <c r="AA36" i="7"/>
  <c r="F259" i="5"/>
  <c r="G259" i="5"/>
  <c r="C259" i="5"/>
  <c r="H258" i="5"/>
  <c r="D259" i="5"/>
  <c r="E259" i="5"/>
  <c r="H259" i="5" l="1"/>
  <c r="I258" i="5"/>
  <c r="J258" i="5" s="1"/>
  <c r="J165" i="5"/>
  <c r="K165" i="5" s="1"/>
  <c r="G76" i="5"/>
  <c r="H76" i="5" s="1"/>
  <c r="Q37" i="7"/>
  <c r="N37" i="7"/>
  <c r="M37" i="7"/>
  <c r="O37" i="7"/>
  <c r="P37" i="7"/>
  <c r="K38" i="7" l="1"/>
  <c r="AA37" i="7"/>
  <c r="J166" i="5" l="1"/>
  <c r="K166" i="5" s="1"/>
  <c r="I259" i="5"/>
  <c r="J259" i="5" s="1"/>
  <c r="G77" i="5"/>
  <c r="H77" i="5" s="1"/>
  <c r="E260" i="5"/>
  <c r="G260" i="5"/>
  <c r="D260" i="5"/>
  <c r="C260" i="5"/>
  <c r="F260" i="5"/>
  <c r="N38" i="7"/>
  <c r="M38" i="7"/>
  <c r="Q38" i="7" s="1"/>
  <c r="P38" i="7"/>
  <c r="O38" i="7"/>
  <c r="K39" i="7" l="1"/>
  <c r="AA38" i="7"/>
  <c r="C261" i="5"/>
  <c r="H260" i="5"/>
  <c r="F261" i="5"/>
  <c r="D261" i="5"/>
  <c r="G261" i="5"/>
  <c r="E261" i="5"/>
  <c r="H261" i="5" l="1"/>
  <c r="I260" i="5"/>
  <c r="J260" i="5" s="1"/>
  <c r="G78" i="5"/>
  <c r="H78" i="5" s="1"/>
  <c r="J167" i="5"/>
  <c r="K167" i="5" s="1"/>
  <c r="N39" i="7"/>
  <c r="M39" i="7"/>
  <c r="Q39" i="7" s="1"/>
  <c r="P39" i="7"/>
  <c r="O39" i="7"/>
  <c r="K40" i="7" l="1"/>
  <c r="AA39" i="7"/>
  <c r="I261" i="5" l="1"/>
  <c r="J261" i="5" s="1"/>
  <c r="J168" i="5"/>
  <c r="K168" i="5" s="1"/>
  <c r="G79" i="5"/>
  <c r="H79" i="5" s="1"/>
  <c r="G262" i="5"/>
  <c r="E262" i="5"/>
  <c r="D262" i="5"/>
  <c r="F262" i="5"/>
  <c r="C262" i="5"/>
  <c r="N40" i="7"/>
  <c r="M40" i="7"/>
  <c r="Q40" i="7" s="1"/>
  <c r="P40" i="7"/>
  <c r="O40" i="7"/>
  <c r="K41" i="7" l="1"/>
  <c r="AA40" i="7"/>
  <c r="D263" i="5"/>
  <c r="C263" i="5"/>
  <c r="H262" i="5"/>
  <c r="F263" i="5"/>
  <c r="E263" i="5"/>
  <c r="G263" i="5"/>
  <c r="H263" i="5" l="1"/>
  <c r="J169" i="5"/>
  <c r="K169" i="5" s="1"/>
  <c r="G80" i="5"/>
  <c r="H80" i="5" s="1"/>
  <c r="I262" i="5"/>
  <c r="J262" i="5" s="1"/>
  <c r="N41" i="7"/>
  <c r="M41" i="7"/>
  <c r="Q41" i="7" s="1"/>
  <c r="P41" i="7"/>
  <c r="O41" i="7"/>
  <c r="K42" i="7" l="1"/>
  <c r="AA41" i="7"/>
  <c r="I263" i="5" l="1"/>
  <c r="J263" i="5" s="1"/>
  <c r="J170" i="5"/>
  <c r="K170" i="5" s="1"/>
  <c r="G81" i="5"/>
  <c r="H81" i="5" s="1"/>
  <c r="G264" i="5"/>
  <c r="C264" i="5"/>
  <c r="E264" i="5"/>
  <c r="F264" i="5"/>
  <c r="D264" i="5"/>
  <c r="N42" i="7"/>
  <c r="M42" i="7"/>
  <c r="Q42" i="7" s="1"/>
  <c r="O42" i="7"/>
  <c r="P42" i="7"/>
  <c r="K43" i="7" l="1"/>
  <c r="AA42" i="7"/>
  <c r="F265" i="5"/>
  <c r="D265" i="5"/>
  <c r="E265" i="5"/>
  <c r="C265" i="5"/>
  <c r="H264" i="5"/>
  <c r="G265" i="5"/>
  <c r="H265" i="5" l="1"/>
  <c r="I264" i="5"/>
  <c r="J264" i="5" s="1"/>
  <c r="J171" i="5"/>
  <c r="K171" i="5" s="1"/>
  <c r="G82" i="5"/>
  <c r="H82" i="5" s="1"/>
  <c r="N43" i="7"/>
  <c r="D30" i="3" s="1"/>
  <c r="E30" i="3" s="1"/>
  <c r="M43" i="7"/>
  <c r="P43" i="7"/>
  <c r="D32" i="3" s="1"/>
  <c r="E32" i="3" s="1"/>
  <c r="O43" i="7"/>
  <c r="D31" i="3" s="1"/>
  <c r="E31" i="3" s="1"/>
  <c r="C11" i="6" l="1"/>
  <c r="D29" i="3"/>
  <c r="E29" i="3" s="1"/>
  <c r="Q43" i="7"/>
  <c r="B11" i="6" l="1"/>
  <c r="D11" i="6" s="1"/>
  <c r="E11" i="6" s="1"/>
  <c r="E8" i="3"/>
  <c r="D46" i="3"/>
  <c r="E46" i="3" s="1"/>
  <c r="D33" i="3"/>
  <c r="E33" i="3"/>
  <c r="AA43" i="7"/>
  <c r="I265" i="5" l="1"/>
  <c r="C19" i="6"/>
  <c r="C18" i="6"/>
  <c r="C20" i="6"/>
  <c r="J172" i="5"/>
  <c r="B13" i="4"/>
  <c r="G83" i="5"/>
  <c r="H8" i="3"/>
  <c r="G8" i="3"/>
  <c r="F8" i="3"/>
  <c r="D14" i="3"/>
  <c r="H9" i="3"/>
  <c r="H7" i="3"/>
  <c r="C12" i="6" l="1"/>
  <c r="D12" i="6" s="1"/>
  <c r="E12" i="6" s="1"/>
  <c r="C14" i="4"/>
  <c r="E45" i="4"/>
  <c r="E48" i="4"/>
  <c r="E46" i="4"/>
  <c r="E47" i="4"/>
  <c r="H83" i="5"/>
  <c r="F91" i="5"/>
  <c r="K172" i="5"/>
  <c r="I180" i="5"/>
  <c r="J265" i="5"/>
  <c r="H273" i="5"/>
  <c r="G270" i="5" l="1"/>
  <c r="C270" i="5"/>
  <c r="E270" i="5"/>
  <c r="D270" i="5"/>
  <c r="F270" i="5"/>
  <c r="G177" i="5"/>
  <c r="D177" i="5"/>
  <c r="H177" i="5"/>
  <c r="E177" i="5"/>
  <c r="F177" i="5"/>
  <c r="C177" i="5"/>
  <c r="D88" i="5"/>
  <c r="E88" i="5"/>
  <c r="C88" i="5"/>
  <c r="F88" i="5" l="1"/>
  <c r="C90" i="5"/>
  <c r="C89" i="5"/>
  <c r="E90" i="5"/>
  <c r="E89" i="5"/>
  <c r="D90" i="5"/>
  <c r="D89" i="5"/>
  <c r="C179" i="5"/>
  <c r="I177" i="5"/>
  <c r="C178" i="5" s="1"/>
  <c r="F178" i="5"/>
  <c r="F179" i="5"/>
  <c r="E179" i="5"/>
  <c r="E178" i="5"/>
  <c r="H178" i="5"/>
  <c r="H179" i="5"/>
  <c r="D178" i="5"/>
  <c r="D179" i="5"/>
  <c r="G179" i="5"/>
  <c r="G178" i="5"/>
  <c r="F272" i="5"/>
  <c r="D272" i="5"/>
  <c r="E272" i="5"/>
  <c r="C272" i="5"/>
  <c r="H270" i="5"/>
  <c r="C271" i="5"/>
  <c r="G272" i="5"/>
  <c r="G271" i="5"/>
  <c r="I178" i="5" l="1"/>
  <c r="B19" i="6"/>
  <c r="D19" i="6" s="1"/>
  <c r="E19" i="6" s="1"/>
  <c r="I179" i="5"/>
  <c r="B20" i="6"/>
  <c r="D20" i="6" s="1"/>
  <c r="E20" i="6" s="1"/>
  <c r="E24" i="6" s="1"/>
  <c r="H272" i="5"/>
  <c r="E271" i="5"/>
  <c r="D271" i="5"/>
  <c r="F89" i="5"/>
  <c r="F271" i="5"/>
  <c r="B18" i="6"/>
  <c r="D18" i="6" s="1"/>
  <c r="E18" i="6" s="1"/>
  <c r="F90" i="5"/>
  <c r="H271" i="5" l="1"/>
</calcChain>
</file>

<file path=xl/sharedStrings.xml><?xml version="1.0" encoding="utf-8"?>
<sst xmlns="http://schemas.openxmlformats.org/spreadsheetml/2006/main" count="1273" uniqueCount="414">
  <si>
    <t>FINCOME · FP&amp;A</t>
  </si>
  <si>
    <t>SaaSCo — Modèle de projection d'ARR à 36 mois</t>
  </si>
  <si>
    <t>Compagnon du deck « Projections d'ARR à 36 mois » (septembre 2026). Même périmètre, mêmes données Fincome, mêmes hypothèses par défaut — mais tout est en formules pour tester d'autres jeux d'hypothèses.</t>
  </si>
  <si>
    <t>Objet</t>
  </si>
  <si>
    <t>Projeter l'ARR de SaaSCo sur 36 mois (sept. 2026 → août 2029) à partir de l'ARR au 31/08/2026, selon trois scénarios (Prudent, Central, Ambition), avec bridges annuels, sensibilités et déclinaison par taille de compte, géographie et produit.</t>
  </si>
  <si>
    <t>Source des données</t>
  </si>
  <si>
    <t>Compte démo Fincome (SaaSCo), extraction via le MCP Fincome le 07/09/2026 : ARR mensuel, bridge d'ARR natif niveau client (new / expansion / réactivation / contraction / lost / FX), ARR et mouvements par segment, clients actifs. Données synchronisées au 15/07/2026 ; les points de juillet et août 2026 sont la projection native de runoff du portefeuille contractualisé (sans new business).</t>
  </si>
  <si>
    <t>Comment jouer avec le modèle</t>
  </si>
  <si>
    <t>1) Onglet Hypothèses : modifiez les cellules sur fond bleu clair — ARR de départ, croissance annuelle du new business, niveau de départ du new business, variation du churn brut (points annualisés), variation de l'expansion, multiplicateur de réactivation, pas des sensibilités, scénario actif. 2) Les onglets Synthèse, Projection, Sensibilités et Segments se recalculent. 3) L'onglet Contrôles doit rester intégralement à OK.</t>
  </si>
  <si>
    <t>Mécanique</t>
  </si>
  <si>
    <t>New business en € par mois (moyenne LTM × niveau de départ) avec croissance mensuelle composée ; expansion, réactivation, contraction et churn en % de l'ARR d'ouverture du mois (taux LTM = mouvement LTM ÷ somme des ARR d'ouverture des 12 mois). Les variations de churn et d'expansion sont exprimées en points annualisés puis converties en taux mensuels. Effet de change et saisonnalité non modélisés.</t>
  </si>
  <si>
    <t>Segments</t>
  </si>
  <si>
    <t>Taux propres calibrés sur les bridges natifs Fincome par axe (niveau client pour taille et pays ; niveau produit pour la gamme, où le cross-sell est piloté par l'ARR consolidé), alloués au bridge consolidé pour que la somme des segments égale le total, puis réconciliés proportionnellement au scénario actif. Les 11 pays sont regroupés en 6 zones (mapping visible dans Données ARR et Données segments).</t>
  </si>
  <si>
    <t>Sensibilités</t>
  </si>
  <si>
    <t>Forme fermée du même modèle : ARR(36) = ARR0·R^36 + N0·g·(R^36 − g^36)/(R − g). Le contrôle « forme fermée = grille mensuelle » garantit l'équivalence avec l'onglet Projection.</t>
  </si>
  <si>
    <t>Code couleur</t>
  </si>
  <si>
    <t>Fond bleu clair + texte bleu : levier modifiable. Texte bleu sans fond : donnée source Fincome (ne pas modifier). Texte noir : formule. Texte vert : lien vers un autre onglet. OK / KO : contrôles.</t>
  </si>
  <si>
    <t>Onglets</t>
  </si>
  <si>
    <t>Hypothèses · Synthèse (tableaux + graphiques) · Projection (grille mensuelle 3 scénarios) · Sensibilités (matrice, échelles, tornado) · Segments (taille, géographie, produit) · Contrôles · Données ARR · Données segments.</t>
  </si>
  <si>
    <t>Limites</t>
  </si>
  <si>
    <t>L'ARR de départ natif (runoff) sous-estime l'ARR réel au 31/08/2026 : remplacez-le par la valeur constatée dès disponibilité. Les ventilations natives par attribut client classent les mouvements légèrement différemment du bridge consolidé (net identique) : les taux par segment sont donc alloués au consolidé et se lisent en relatif. Juillet 2026 (mois partiel) est exclu de la calibration.</t>
  </si>
  <si>
    <t>Exemples de cellules</t>
  </si>
  <si>
    <t>Levier modifiable</t>
  </si>
  <si>
    <t>Donnée source Fincome</t>
  </si>
  <si>
    <t>Formule</t>
  </si>
  <si>
    <t>Lien vers un autre onglet</t>
  </si>
  <si>
    <t>SAASCO · PROJECTIONS ARR 36 MOIS</t>
  </si>
  <si>
    <t>Hypothèses et leviers du modèle</t>
  </si>
  <si>
    <t>Les cellules sur fond bleu clair sont les leviers modifiables. Tout le reste est calculé. Le modèle repart de l'ARR au 31/08/2026 et projette 36 mois (sept. 2026 → août 2029) en capitalisation mensuelle.</t>
  </si>
  <si>
    <t>1. Point de départ</t>
  </si>
  <si>
    <t>ARR de départ retenu au 31/08/2026 (€) — levier</t>
  </si>
  <si>
    <t>Par défaut = ARR natif Fincome au 31/08/2026 (runoff du portefeuille contractualisé, données synchronisées au 15/07/2026 : aucun new business ni expansion d'août). Remplacer par l'ARR réel constaté au 31/08 lorsqu'il sera disponible ; les segments sont mis à l'échelle proportionnellement.</t>
  </si>
  <si>
    <t>ARR natif Fincome au 31/08/2026 (runoff)</t>
  </si>
  <si>
    <t>ARR au 30/06/2026 (dernier mois complet)</t>
  </si>
  <si>
    <t>ARR au 30/06/2025</t>
  </si>
  <si>
    <t>Croissance ARR sur 12 mois (juin 25 → juin 26)</t>
  </si>
  <si>
    <t>Scénario actif (onglets Sensibilités et Segments) — levier</t>
  </si>
  <si>
    <t>Central</t>
  </si>
  <si>
    <t>Index du scénario actif</t>
  </si>
  <si>
    <t>2. Calibration sur les 12 derniers mois (juil. 2025 → juin 2026) — calculée depuis l'onglet Données ARR</t>
  </si>
  <si>
    <t>Driver</t>
  </si>
  <si>
    <t>LTM (€)</t>
  </si>
  <si>
    <t>Taux mensuel</t>
  </si>
  <si>
    <t>Annualisé</t>
  </si>
  <si>
    <t>Base</t>
  </si>
  <si>
    <t>New business (en € — moyenne mensuelle en colonne Taux)</t>
  </si>
  <si>
    <t>—</t>
  </si>
  <si>
    <t>€ / mois</t>
  </si>
  <si>
    <t>Expansion</t>
  </si>
  <si>
    <t>% ARR d'ouverture</t>
  </si>
  <si>
    <t>Réactivation</t>
  </si>
  <si>
    <t>Contraction</t>
  </si>
  <si>
    <t>Churn (lost)</t>
  </si>
  <si>
    <t>Churn brut (contraction + lost)</t>
  </si>
  <si>
    <t>GRR = 1 − churn brut</t>
  </si>
  <si>
    <t>Effet FX LTM (exclu des projections)</t>
  </si>
  <si>
    <t>Somme des ARR d'ouverture des 12 mois (juin 25 → mai 26)</t>
  </si>
  <si>
    <t>moyenne mensuelle</t>
  </si>
  <si>
    <t>Net new ARR LTM (contrôle : = ARR juin 26 − ARR juin 25)</t>
  </si>
  <si>
    <t>NRR annualisée hors réactivations · avec réactivations</t>
  </si>
  <si>
    <t>Croissance du new business : LTM vs LTM−1 · H1-26 vs H1-25 · H2-25 vs H2-24</t>
  </si>
  <si>
    <t>Références historiques utilisées pour borner les scénarios (0 % / +10 % / +20 %). Juillet 2026 (mois partiel) est exclu de la calibration.</t>
  </si>
  <si>
    <t>3. Leviers par scénario — modifiables (fond bleu clair)</t>
  </si>
  <si>
    <t>Levier</t>
  </si>
  <si>
    <t>Unité</t>
  </si>
  <si>
    <t>Prudent</t>
  </si>
  <si>
    <t>Ambition</t>
  </si>
  <si>
    <t>Croissance annuelle du new business</t>
  </si>
  <si>
    <t>% / an</t>
  </si>
  <si>
    <t>Historique : LTM +16 %, H1-26 vs H1-25 +3 %, H2-25 vs H2-24 +31 %.</t>
  </si>
  <si>
    <t>Niveau de départ du new business (% de la moyenne mensuelle LTM)</t>
  </si>
  <si>
    <t>% LTM</t>
  </si>
  <si>
    <t>Variation du churn brut annualisé (points annualisés : +2,0 % = +2 pts)</t>
  </si>
  <si>
    <t>points</t>
  </si>
  <si>
    <t>Points annualisés ajoutés au churn brut LTM (17,6 %). Répartis entre contraction et lost au prorata LTM.</t>
  </si>
  <si>
    <t>Variation du taux d'expansion annualisé (points annualisés)</t>
  </si>
  <si>
    <t>Points annualisés ajoutés au taux d'expansion LTM (23,5 %).</t>
  </si>
  <si>
    <t>Multiplicateur du taux de réactivation</t>
  </si>
  <si>
    <t>x LTM</t>
  </si>
  <si>
    <t>4. Paramètres dérivés par scénario — calculés</t>
  </si>
  <si>
    <t>Paramètre</t>
  </si>
  <si>
    <t>New business du 1er mois avant croissance (€ / mois)</t>
  </si>
  <si>
    <t>€</t>
  </si>
  <si>
    <t>Croissance mensuelle du new business</t>
  </si>
  <si>
    <t>% / mois</t>
  </si>
  <si>
    <t>Churn brut annualisé retenu</t>
  </si>
  <si>
    <t>%</t>
  </si>
  <si>
    <t>Churn brut mensuel retenu</t>
  </si>
  <si>
    <t>Taux mensuel de contraction</t>
  </si>
  <si>
    <t>Taux mensuel de churn (lost)</t>
  </si>
  <si>
    <t>Taux d'expansion annualisé retenu</t>
  </si>
  <si>
    <t>Taux mensuel d'expansion</t>
  </si>
  <si>
    <t>Taux mensuel de réactivation</t>
  </si>
  <si>
    <t>Facteur de rétention nette mensuel R = 1 + e + r − c − l</t>
  </si>
  <si>
    <t>x</t>
  </si>
  <si>
    <t>NRR annualisée implicite (hors réactivations)</t>
  </si>
  <si>
    <t>GRR annualisée implicite</t>
  </si>
  <si>
    <t>5. Pas des tables de sensibilité — modifiables</t>
  </si>
  <si>
    <t>Pas de variation du churn brut (points annualisés)</t>
  </si>
  <si>
    <t>Pas de variation de la croissance du new business (points)</t>
  </si>
  <si>
    <t>Pas de variation du taux d'expansion (points annualisés)</t>
  </si>
  <si>
    <t>Variation du niveau de départ du new business (tornado)</t>
  </si>
  <si>
    <t>SYNTHÈSE</t>
  </si>
  <si>
    <t>Synthèse — trajectoires et bridges par scénario</t>
  </si>
  <si>
    <t>Résultats recalculés en direct depuis l'onglet Projection. Modifiez les leviers dans l'onglet Hypothèses.</t>
  </si>
  <si>
    <t>ARR par horizon</t>
  </si>
  <si>
    <t>Scénario</t>
  </si>
  <si>
    <t>ARR 31/08/2026</t>
  </si>
  <si>
    <t>M+12 · août 2027</t>
  </si>
  <si>
    <t>M+24 · août 2028</t>
  </si>
  <si>
    <t>M+36 · août 2029</t>
  </si>
  <si>
    <t>CAGR 3 ans</t>
  </si>
  <si>
    <t>Multiple</t>
  </si>
  <si>
    <t>Écart vs Central à M+36</t>
  </si>
  <si>
    <t>Croissance annuelle de l'ARR</t>
  </si>
  <si>
    <t>Année 1 (sept. 26 → août 27)</t>
  </si>
  <si>
    <t>Année 2</t>
  </si>
  <si>
    <t>Année 3</t>
  </si>
  <si>
    <t>NRR implicite</t>
  </si>
  <si>
    <t>GRR implicite</t>
  </si>
  <si>
    <t>Churn brut annualisé</t>
  </si>
  <si>
    <t>Expansion annualisée</t>
  </si>
  <si>
    <t>Bridge des variations anticipées par année et par scénario (€)</t>
  </si>
  <si>
    <t>Scénario · Mouvement</t>
  </si>
  <si>
    <t>Année 1</t>
  </si>
  <si>
    <t>Cumul 36 mois</t>
  </si>
  <si>
    <t>Contrôle</t>
  </si>
  <si>
    <t>Prudent — ARR d'ouverture</t>
  </si>
  <si>
    <t xml:space="preserve">   New business</t>
  </si>
  <si>
    <t xml:space="preserve">   Expansion</t>
  </si>
  <si>
    <t xml:space="preserve">   Réactivation</t>
  </si>
  <si>
    <t xml:space="preserve">   Contraction</t>
  </si>
  <si>
    <t xml:space="preserve">   Churn (lost)</t>
  </si>
  <si>
    <t>Prudent — ARR de clôture</t>
  </si>
  <si>
    <t>Central — ARR d'ouverture</t>
  </si>
  <si>
    <t>Central — ARR de clôture</t>
  </si>
  <si>
    <t>Ambition — ARR d'ouverture</t>
  </si>
  <si>
    <t>Ambition — ARR de clôture</t>
  </si>
  <si>
    <t>Net new ARR par année (aide graphique)</t>
  </si>
  <si>
    <t>Cumul</t>
  </si>
  <si>
    <t>SENSIBILITÉS</t>
  </si>
  <si>
    <t>Sensibilités — ARR au 31/08/2029 autour du scénario actif</t>
  </si>
  <si>
    <t>Forme fermée du modèle (taux constants) : ARR(36) = ARR0·R^36 + N0·g·(R^36 − g^36)/(R − g), avec R = 1 + e + r − c − l (mensuel) et g = croissance mensuelle du new business. Le pas des grilles se règle dans Hypothèses (section 5). Contrôle en bas : forme fermée = grille mensuelle.</t>
  </si>
  <si>
    <t>Scénario actif</t>
  </si>
  <si>
    <t>ARR de départ (€)</t>
  </si>
  <si>
    <t>New business du 1er mois avant croissance N0 (€)</t>
  </si>
  <si>
    <t>Part du churn (lost) dans le churn brut</t>
  </si>
  <si>
    <t>ARR au 31/08/2029 — grille mensuelle (Projection)</t>
  </si>
  <si>
    <t>ARR au 31/08/2029 — forme fermée (contrôle)</t>
  </si>
  <si>
    <t>Matrice : variation de la croissance du new business (colonnes) × variation du churn brut (lignes) — ARR au 31/08/2029 (€)</t>
  </si>
  <si>
    <t>Δ churn brut (points annualisés) ↓  /  Δ croissance annuelle du new business (points) →</t>
  </si>
  <si>
    <t>Même matrice en écart relatif vs le scénario actif</t>
  </si>
  <si>
    <t>Échelles à un seul driver (autres drivers constants)</t>
  </si>
  <si>
    <t>−3 pas</t>
  </si>
  <si>
    <t>−2 pas</t>
  </si>
  <si>
    <t>−1 pas</t>
  </si>
  <si>
    <t>Actif</t>
  </si>
  <si>
    <t>+1 pas</t>
  </si>
  <si>
    <t>+2 pas</t>
  </si>
  <si>
    <t>+3 pas</t>
  </si>
  <si>
    <t>Churn brut annualisé (pts)</t>
  </si>
  <si>
    <t>Croissance annuelle du new business (pts)</t>
  </si>
  <si>
    <t>Taux d'expansion annualisé (pts)</t>
  </si>
  <si>
    <t>Valeur d'un point (moyenne ±1 pas, € par point)</t>
  </si>
  <si>
    <t>churn</t>
  </si>
  <si>
    <t>croissance new business</t>
  </si>
  <si>
    <t>expansion</t>
  </si>
  <si>
    <t>Tornado — impact de chaque driver sur l'ARR au 31/08/2029</t>
  </si>
  <si>
    <t>Défavorable</t>
  </si>
  <si>
    <t>Favorable</t>
  </si>
  <si>
    <t>Amplitude (€)</t>
  </si>
  <si>
    <t>Amplitude (% de l'ARR actif)</t>
  </si>
  <si>
    <t>Churn brut ±2 pas</t>
  </si>
  <si>
    <t>Croissance du new business ±2 pas</t>
  </si>
  <si>
    <t>Taux d'expansion ±2 pas</t>
  </si>
  <si>
    <t>Niveau de départ du new business ±x %</t>
  </si>
  <si>
    <t>SEGMENTS</t>
  </si>
  <si>
    <t>Segments — projection par taille de compte, géographie et produit (scénario actif)</t>
  </si>
  <si>
    <t>Taux propres à chaque segment calibrés sur les bridges natifs Fincome LTM, alloués au bridge consolidé (somme des segments = consolidé), puis leviers du scénario actif appliqués. Réconciliation finale proportionnelle au consolidé (facteur affiché). Le cross-sell produit est piloté par l'ARR consolidé du mois précédent.</t>
  </si>
  <si>
    <t>Leviers actifs :</t>
  </si>
  <si>
    <t>croiss. new biz</t>
  </si>
  <si>
    <t>Δ churn</t>
  </si>
  <si>
    <t>Δ expansion</t>
  </si>
  <si>
    <t>A. Taille de compte</t>
  </si>
  <si>
    <t>Large enterprise</t>
  </si>
  <si>
    <t>Medium business</t>
  </si>
  <si>
    <t>Small business</t>
  </si>
  <si>
    <t>Σ segments / consolidé</t>
  </si>
  <si>
    <t>ARR au 31/08/2026 (€) — mis à l'échelle de l'ARR de départ retenu</t>
  </si>
  <si>
    <t>Mix au 31/08/2026</t>
  </si>
  <si>
    <t>LTM natif — new business (€)</t>
  </si>
  <si>
    <t>LTM natif — expansion (€)</t>
  </si>
  <si>
    <t>LTM natif — réactivation (€)</t>
  </si>
  <si>
    <t>LTM natif — contraction (€) (produit : + churn partiel)</t>
  </si>
  <si>
    <t>LTM natif — churn lost (€)</t>
  </si>
  <si>
    <t>Somme des ARR d'ouverture LTM du segment (€)</t>
  </si>
  <si>
    <t>Alloué — new business (€)</t>
  </si>
  <si>
    <t>Alloué — expansion (€)</t>
  </si>
  <si>
    <t>Alloué — réactivation (€)</t>
  </si>
  <si>
    <t>Alloué — contraction (€)</t>
  </si>
  <si>
    <t>Alloué — churn lost (€)</t>
  </si>
  <si>
    <t>New business mensuel de départ N0 (€) — niveau du scénario actif</t>
  </si>
  <si>
    <t>€/mois</t>
  </si>
  <si>
    <t>Taux mensuel d'expansion propre</t>
  </si>
  <si>
    <t>Taux mensuel d'expansion effectif (propre + cross-sell)</t>
  </si>
  <si>
    <t>Churn brut annualisé LTM</t>
  </si>
  <si>
    <t>Expansion annualisée LTM</t>
  </si>
  <si>
    <t>NRR annualisée LTM (hors réactivations)</t>
  </si>
  <si>
    <t>Churn brut annualisé retenu (scénario actif)</t>
  </si>
  <si>
    <t>Contraction mensuelle retenue</t>
  </si>
  <si>
    <t>Churn (lost) mensuel retenu</t>
  </si>
  <si>
    <t>Expansion annualisée retenue</t>
  </si>
  <si>
    <t>Facteur d'ajustement de l'expansion</t>
  </si>
  <si>
    <t>Expansion propre mensuelle retenue</t>
  </si>
  <si>
    <t>Facteur de rétention nette mensuel R</t>
  </si>
  <si>
    <t>Facteur mensuel de croissance du new business g</t>
  </si>
  <si>
    <t>Facteurs d'allocation (consolidé natif ÷ Σ natif segments) : new · expansion(+cross-sell) · réactivation · contraction · lost</t>
  </si>
  <si>
    <t xml:space="preserve">   Allocation new business</t>
  </si>
  <si>
    <t xml:space="preserve">   Allocation expansion (+ cross-sell)</t>
  </si>
  <si>
    <t xml:space="preserve">   Allocation réactivation</t>
  </si>
  <si>
    <t xml:space="preserve">   Allocation contraction</t>
  </si>
  <si>
    <t xml:space="preserve">   Allocation churn (lost)</t>
  </si>
  <si>
    <t>t</t>
  </si>
  <si>
    <t>Mois</t>
  </si>
  <si>
    <t>Σ segments</t>
  </si>
  <si>
    <t>Consolidé (scénario actif)</t>
  </si>
  <si>
    <t>Facteur de réconciliation</t>
  </si>
  <si>
    <t>août 2026 (départ)</t>
  </si>
  <si>
    <t>sept. 2026</t>
  </si>
  <si>
    <t>oct. 2026</t>
  </si>
  <si>
    <t>nov. 2026</t>
  </si>
  <si>
    <t>déc. 2026</t>
  </si>
  <si>
    <t>janv. 2027</t>
  </si>
  <si>
    <t>févr. 2027</t>
  </si>
  <si>
    <t>mars 2027</t>
  </si>
  <si>
    <t>avr. 2027</t>
  </si>
  <si>
    <t>mai 2027</t>
  </si>
  <si>
    <t>juin 2027</t>
  </si>
  <si>
    <t>juil. 2027</t>
  </si>
  <si>
    <t>août 2027</t>
  </si>
  <si>
    <t>sept. 2027</t>
  </si>
  <si>
    <t>oct. 2027</t>
  </si>
  <si>
    <t>nov. 2027</t>
  </si>
  <si>
    <t>déc. 2027</t>
  </si>
  <si>
    <t>janv. 2028</t>
  </si>
  <si>
    <t>févr. 2028</t>
  </si>
  <si>
    <t>mars 2028</t>
  </si>
  <si>
    <t>avr. 2028</t>
  </si>
  <si>
    <t>mai 2028</t>
  </si>
  <si>
    <t>juin 2028</t>
  </si>
  <si>
    <t>juil. 2028</t>
  </si>
  <si>
    <t>août 2028</t>
  </si>
  <si>
    <t>sept. 2028</t>
  </si>
  <si>
    <t>oct. 2028</t>
  </si>
  <si>
    <t>nov. 2028</t>
  </si>
  <si>
    <t>déc. 2028</t>
  </si>
  <si>
    <t>janv. 2029</t>
  </si>
  <si>
    <t>févr. 2029</t>
  </si>
  <si>
    <t>mars 2029</t>
  </si>
  <si>
    <t>avr. 2029</t>
  </si>
  <si>
    <t>mai 2029</t>
  </si>
  <si>
    <t>juin 2029</t>
  </si>
  <si>
    <t>juil. 2029</t>
  </si>
  <si>
    <t>août 2029</t>
  </si>
  <si>
    <t>Résultat réconcilié au consolidé</t>
  </si>
  <si>
    <t>Total</t>
  </si>
  <si>
    <t>ARR au 31/08/2027 (M+12)</t>
  </si>
  <si>
    <t>ARR au 31/08/2028 (M+24)</t>
  </si>
  <si>
    <t>ARR au 31/08/2029 (M+36)</t>
  </si>
  <si>
    <t>Mix au 31/08/2029</t>
  </si>
  <si>
    <t>CAGR 3 ans (réconcilié)</t>
  </si>
  <si>
    <t>Écart bottom-up brut vs consolidé à M+36 (avant réconciliation)</t>
  </si>
  <si>
    <t>Contrôle : Σ ARR de départ des segments = ARR de départ retenu</t>
  </si>
  <si>
    <t>B. Géographie (regroupement de 11 pays en 6 zones)</t>
  </si>
  <si>
    <t>France</t>
  </si>
  <si>
    <t>Royaume-Uni</t>
  </si>
  <si>
    <t>États-Unis</t>
  </si>
  <si>
    <t>Allemagne</t>
  </si>
  <si>
    <t>Reste Europe (IT, ES, NL, BE)</t>
  </si>
  <si>
    <t>Reste du monde (CA, AU, autres)</t>
  </si>
  <si>
    <t>C. Gamme de produits (bridge natif niveau produit : cross-sell piloté par l'ARR consolidé)</t>
  </si>
  <si>
    <t>Basic</t>
  </si>
  <si>
    <t>Standard</t>
  </si>
  <si>
    <t>Premium</t>
  </si>
  <si>
    <t>Enterprise</t>
  </si>
  <si>
    <t>Custom</t>
  </si>
  <si>
    <t>LTM natif — cross-sell (€) (produit uniquement)</t>
  </si>
  <si>
    <t>Alloué — cross-sell (€)</t>
  </si>
  <si>
    <t>Taux mensuel de cross-sell (% ARR consolidé)</t>
  </si>
  <si>
    <t>Cross-sell mensuel retenu (% ARR consolidé)</t>
  </si>
  <si>
    <t>CONTRÔLES</t>
  </si>
  <si>
    <t>Contrôles de cohérence</t>
  </si>
  <si>
    <t>Chaque ligne doit afficher OK. Un KO signale une rupture entre les données, la calibration et les projections.</t>
  </si>
  <si>
    <t>Valeur A</t>
  </si>
  <si>
    <t>Valeur B</t>
  </si>
  <si>
    <t>Écart</t>
  </si>
  <si>
    <t>Statut</t>
  </si>
  <si>
    <t>Somme des segments taille = ARR total (août 2026)</t>
  </si>
  <si>
    <t>Somme des pays = ARR total (août 2026)</t>
  </si>
  <si>
    <t>Somme des produits = ARR total (août 2026)</t>
  </si>
  <si>
    <t>Bridge mensuel natif = variation d'ARR (écart cumulé sur 26 mois)</t>
  </si>
  <si>
    <t>Bridge LTM (incl. FX) = ARR juin 26 − ARR juin 25</t>
  </si>
  <si>
    <t>Projection : ARR clôture M+36 Central = ouverture + Σ flux (Synthèse)</t>
  </si>
  <si>
    <t>Forme fermée (Sensibilités) = grille mensuelle (scénario actif) à M+36</t>
  </si>
  <si>
    <t>Segments taille : Σ ARR de départ = ARR de départ retenu</t>
  </si>
  <si>
    <t>Segments géo : Σ ARR de départ = ARR de départ retenu</t>
  </si>
  <si>
    <t>Segments produit : Σ ARR de départ = ARR de départ retenu</t>
  </si>
  <si>
    <t>Segments taille : Σ alloué new business = new business LTM consolidé</t>
  </si>
  <si>
    <t>Segments produit : Σ alloué expansion + cross-sell = expansion LTM consolidée</t>
  </si>
  <si>
    <t>Segments taille : total réconcilié M+36 = consolidé (scénario actif)</t>
  </si>
  <si>
    <t>Segments géo : total réconcilié M+36 = consolidé (scénario actif)</t>
  </si>
  <si>
    <t>Segments produit : total réconcilié M+36 = consolidé (scénario actif)</t>
  </si>
  <si>
    <t>Bridge produit natif : Σ segments new = total niveau produit</t>
  </si>
  <si>
    <t>Bridge produit natif : Σ segments cross-sell = total niveau produit</t>
  </si>
  <si>
    <t>Synthèse des contrôles</t>
  </si>
  <si>
    <t>MOTEUR</t>
  </si>
  <si>
    <t>Projection mensuelle d'ARR — 36 mois, trois scénarios</t>
  </si>
  <si>
    <t>ARR de clôture(t) = ARR d'ouverture(t) + new business(t) + expansion + réactivation − contraction − churn. Flux de rétention en % de l'ARR d'ouverture ; new business en € avec croissance mensuelle composée. Tout est formule.</t>
  </si>
  <si>
    <t>Scénario Prudent</t>
  </si>
  <si>
    <t>Scénario Central</t>
  </si>
  <si>
    <t>Scénario Ambition</t>
  </si>
  <si>
    <t>ARR ouverture</t>
  </si>
  <si>
    <t>New business</t>
  </si>
  <si>
    <t>ARR clôture</t>
  </si>
  <si>
    <t>DONNÉES SOURCE</t>
  </si>
  <si>
    <t>Données Fincome — ARR mensuel et bridge natif</t>
  </si>
  <si>
    <t>Compte démo SaaSCo · extraction MCP Fincome du 07/09/2026 · devise EUR · données synchronisées au 15/07/2026 (points postérieurs = runoff natif du portefeuille contractualisé, sans new business). Cellules bleues = données Fincome, ne pas modifier.</t>
  </si>
  <si>
    <t>ARR par taille de compte (customer/size)</t>
  </si>
  <si>
    <t>ARR par pays (customer/country)</t>
  </si>
  <si>
    <t>ARR par produit (product)</t>
  </si>
  <si>
    <t>Zone →</t>
  </si>
  <si>
    <t>Reste Europe</t>
  </si>
  <si>
    <t>Reste du monde</t>
  </si>
  <si>
    <t>ARR total (€)</t>
  </si>
  <si>
    <t>Effet FX</t>
  </si>
  <si>
    <t>Total mouvements</t>
  </si>
  <si>
    <t>Variation ARR</t>
  </si>
  <si>
    <t>Écart vs total</t>
  </si>
  <si>
    <t>United Kingdom</t>
  </si>
  <si>
    <t>United States</t>
  </si>
  <si>
    <t>Germany</t>
  </si>
  <si>
    <t>Italy</t>
  </si>
  <si>
    <t>Spain</t>
  </si>
  <si>
    <t>Netherlands</t>
  </si>
  <si>
    <t>Belgium</t>
  </si>
  <si>
    <t>Canada</t>
  </si>
  <si>
    <t>Australia</t>
  </si>
  <si>
    <t>Others</t>
  </si>
  <si>
    <t>2023-08</t>
  </si>
  <si>
    <t>2024-07</t>
  </si>
  <si>
    <t>2025-06</t>
  </si>
  <si>
    <t>2023-09</t>
  </si>
  <si>
    <t>2024-08</t>
  </si>
  <si>
    <t>2025-07</t>
  </si>
  <si>
    <t>2023-10</t>
  </si>
  <si>
    <t>2024-09</t>
  </si>
  <si>
    <t>2025-08</t>
  </si>
  <si>
    <t>2023-11</t>
  </si>
  <si>
    <t>2024-10</t>
  </si>
  <si>
    <t>2025-09</t>
  </si>
  <si>
    <t>2023-12</t>
  </si>
  <si>
    <t>2024-11</t>
  </si>
  <si>
    <t>2025-10</t>
  </si>
  <si>
    <t>2024-01</t>
  </si>
  <si>
    <t>2024-12</t>
  </si>
  <si>
    <t>2025-11</t>
  </si>
  <si>
    <t>2024-02</t>
  </si>
  <si>
    <t>2025-01</t>
  </si>
  <si>
    <t>2025-12</t>
  </si>
  <si>
    <t>2024-03</t>
  </si>
  <si>
    <t>2025-02</t>
  </si>
  <si>
    <t>2026-01</t>
  </si>
  <si>
    <t>2024-04</t>
  </si>
  <si>
    <t>2025-03</t>
  </si>
  <si>
    <t>2026-02</t>
  </si>
  <si>
    <t>2024-05</t>
  </si>
  <si>
    <t>2025-04</t>
  </si>
  <si>
    <t>2026-03</t>
  </si>
  <si>
    <t>2024-06</t>
  </si>
  <si>
    <t>2025-05</t>
  </si>
  <si>
    <t>2026-04</t>
  </si>
  <si>
    <t>2026-05</t>
  </si>
  <si>
    <t>2026-06</t>
  </si>
  <si>
    <t>2026-07</t>
  </si>
  <si>
    <t>2026-08</t>
  </si>
  <si>
    <t>Source : get_metric('arr', dimension=...). Juil.-26 et août-26 en runoff natif. La somme des segments est réconciliée au total chaque mois (colonne Écart).</t>
  </si>
  <si>
    <t>Rétention native Fincome (mensuelle, arrondie par la plateforme)</t>
  </si>
  <si>
    <t>NRR</t>
  </si>
  <si>
    <t>GRR</t>
  </si>
  <si>
    <t>Source : get_metric('arr_growth_customers', dimension='mrr_movement_type'). Bridge natif niveau client. Août-26 : mouvements de runoff (aucun new business).</t>
  </si>
  <si>
    <t>Source : get_metric('arr'), grain mensuel, as_of = fin de mois. Juil.-26 et août-26 : projection native de runoff (freshness 15/07/2026). ARR au 15/07/2026 (point 'aujourd'hui') : 21 756 153,74 €.</t>
  </si>
  <si>
    <t>Données Fincome — mouvements d'ARR par segment (LTM juil. 2025 → juin 2026)</t>
  </si>
  <si>
    <t>Grain trimestriel · bridges natifs : niveau client (arr_growth_customers) pour taille et pays, niveau produit (arr_growth_customer_product_level) pour la gamme. Cellules bleues = données Fincome.</t>
  </si>
  <si>
    <t>Mouvements par taille de compte (niveau client)</t>
  </si>
  <si>
    <t>Segment</t>
  </si>
  <si>
    <t>Type</t>
  </si>
  <si>
    <t>Q3-25</t>
  </si>
  <si>
    <t>Q4-25</t>
  </si>
  <si>
    <t>Q1-26</t>
  </si>
  <si>
    <t>Q2-26</t>
  </si>
  <si>
    <t>LTM</t>
  </si>
  <si>
    <t>new</t>
  </si>
  <si>
    <t>reactivated</t>
  </si>
  <si>
    <t>contraction</t>
  </si>
  <si>
    <t>lost</t>
  </si>
  <si>
    <t>Mouvements par pays (niveau client) — colonne Zone = regroupement utilisé dans l'onglet Segments</t>
  </si>
  <si>
    <t>Zone</t>
  </si>
  <si>
    <t>Mouvements par produit (niveau produit : cross-sell = ajout d'une ligne produit chez un client existant ; churn partiel = perte d'une ligne produit)</t>
  </si>
  <si>
    <t>cross_sell</t>
  </si>
  <si>
    <t>partial_churn</t>
  </si>
  <si>
    <t>Bridge consolidé niveau produit (réconciliation)</t>
  </si>
  <si>
    <t>fx_impact</t>
  </si>
  <si>
    <t>Clients actifs par taille (fin de trimestre)</t>
  </si>
  <si>
    <t>Q2-25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</si>
</sst>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
    <numFmt numFmtId="166" formatCode="0.00%;\-0.00%;\-"/>
    <numFmt numFmtId="167" formatCode="\+0.0%;\-0.0%;0.0%"/>
    <numFmt numFmtId="168" formatCode="0.00\x"/>
    <numFmt numFmtId="169" formatCode="0.00000"/>
    <numFmt numFmtId="170" formatCode="0.0000"/>
    <numFmt numFmtId="171" formatCode="#,##0.00;\-#,##0.00;\-"/>
  </numFmts>
  <fonts count="17">
    <font>
      <sz val="11"/>
      <color theme="1"/>
      <name val="Calibri"/>
      <family val="2"/>
      <charset val="1"/>
    </font>
    <font>
      <b/>
      <sz val="9"/>
      <color rgb="FF2544E0"/>
      <name val="Inter"/>
      <charset val="1"/>
    </font>
    <font>
      <b/>
      <sz val="18"/>
      <color rgb="FF020512"/>
      <name val="Inter"/>
      <charset val="1"/>
    </font>
    <font>
      <sz val="10"/>
      <color rgb="FF7B7C81"/>
      <name val="Inter"/>
      <charset val="1"/>
    </font>
    <font>
      <b/>
      <sz val="10"/>
      <color rgb="FF2544E0"/>
      <name val="Inter"/>
      <charset val="1"/>
    </font>
    <font>
      <sz val="10"/>
      <color rgb="FF020512"/>
      <name val="Inter"/>
      <charset val="1"/>
    </font>
    <font>
      <sz val="10"/>
      <color rgb="FF2544E0"/>
      <name val="Inter"/>
      <charset val="1"/>
    </font>
    <font>
      <sz val="10"/>
      <color rgb="FF00A63E"/>
      <name val="Inter"/>
      <charset val="1"/>
    </font>
    <font>
      <b/>
      <sz val="11"/>
      <color rgb="FF2544E0"/>
      <name val="Inter"/>
      <charset val="1"/>
    </font>
    <font>
      <sz val="9"/>
      <color rgb="FF7B7C81"/>
      <name val="Inter"/>
      <charset val="1"/>
    </font>
    <font>
      <b/>
      <sz val="10"/>
      <color rgb="FF020512"/>
      <name val="Inter"/>
      <charset val="1"/>
    </font>
    <font>
      <b/>
      <sz val="9"/>
      <color rgb="FFFFFFFF"/>
      <name val="Inter"/>
      <charset val="1"/>
    </font>
    <font>
      <b/>
      <sz val="10"/>
      <color rgb="FF00A63E"/>
      <name val="Inter"/>
      <charset val="1"/>
    </font>
    <font>
      <b/>
      <sz val="11"/>
      <color rgb="FF7B7C81"/>
      <name val="Inter"/>
      <charset val="1"/>
    </font>
    <font>
      <b/>
      <sz val="11"/>
      <color rgb="FF020512"/>
      <name val="Inter"/>
      <charset val="1"/>
    </font>
    <font>
      <sz val="8"/>
      <color rgb="FF7B7C81"/>
      <name val="Inter"/>
      <charset val="1"/>
    </font>
    <font>
      <i/>
      <sz val="9"/>
      <color rgb="FF7B7C81"/>
      <name val="Inter"/>
      <charset val="1"/>
    </font>
  </fonts>
  <fills count="6">
    <fill>
      <patternFill patternType="none"/>
    </fill>
    <fill>
      <patternFill patternType="gray125"/>
    </fill>
    <fill>
      <patternFill patternType="solid">
        <fgColor rgb="FFE2E7FD"/>
        <bgColor rgb="FFF5F7FE"/>
      </patternFill>
    </fill>
    <fill>
      <patternFill patternType="solid">
        <fgColor rgb="FFF5F7FE"/>
        <bgColor rgb="FFFFFFFF"/>
      </patternFill>
    </fill>
    <fill>
      <patternFill patternType="solid">
        <fgColor rgb="FF020512"/>
        <bgColor rgb="FF000000"/>
      </patternFill>
    </fill>
    <fill>
      <patternFill patternType="solid">
        <fgColor rgb="FF2544E0"/>
        <bgColor rgb="FF3366FF"/>
      </patternFill>
    </fill>
  </fills>
  <borders count="3">
    <border>
      <left/>
      <right/>
      <top/>
      <bottom/>
      <diagonal/>
    </border>
    <border>
      <left/>
      <right/>
      <top style="thin">
        <color rgb="FFC9CCD6"/>
      </top>
      <bottom/>
      <diagonal/>
    </border>
    <border>
      <left/>
      <right/>
      <top/>
      <bottom style="thin">
        <color rgb="FFC9CCD6"/>
      </bottom>
      <diagonal/>
    </border>
  </borders>
  <cellStyleXfs count="1">
    <xf numFmtId="0" fontId="0" fillId="0" borderId="0"/>
  </cellStyleXfs>
  <cellXfs count="67">
    <xf numFmtId="0" fontId="0" fillId="0" borderId="0" xfId="0"/>
    <xf numFmtId="0" fontId="16" fillId="0" borderId="0" xfId="0" applyFont="1" applyAlignment="1">
      <alignment horizontal="left" vertical="center" wrapText="1"/>
    </xf>
    <xf numFmtId="0" fontId="14" fillId="0" borderId="0" xfId="0" applyFont="1" applyAlignment="1">
      <alignment horizontal="center" vertical="center" wrapText="1"/>
    </xf>
    <xf numFmtId="0" fontId="8" fillId="0" borderId="0" xfId="0" applyFont="1" applyAlignment="1">
      <alignment horizontal="center" vertical="center" wrapText="1"/>
    </xf>
    <xf numFmtId="0" fontId="13" fillId="0" borderId="0" xfId="0" applyFont="1" applyAlignment="1">
      <alignment horizontal="center" vertical="center" wrapText="1"/>
    </xf>
    <xf numFmtId="0" fontId="1" fillId="0" borderId="0" xfId="0" applyFont="1"/>
    <xf numFmtId="0" fontId="2" fillId="0" borderId="0" xfId="0" applyFont="1"/>
    <xf numFmtId="0" fontId="3" fillId="0" borderId="0" xfId="0" applyFont="1"/>
    <xf numFmtId="0" fontId="4" fillId="0" borderId="0" xfId="0" applyFont="1" applyAlignment="1">
      <alignment horizontal="left" vertical="center" wrapText="1"/>
    </xf>
    <xf numFmtId="0" fontId="5" fillId="0" borderId="0" xfId="0" applyFont="1" applyAlignment="1">
      <alignment horizontal="left" vertical="center" wrapText="1"/>
    </xf>
    <xf numFmtId="164" fontId="4" fillId="2" borderId="0" xfId="0" applyNumberFormat="1" applyFont="1" applyFill="1"/>
    <xf numFmtId="165" fontId="6" fillId="0" borderId="0" xfId="0" applyNumberFormat="1" applyFont="1"/>
    <xf numFmtId="165" fontId="5" fillId="0" borderId="0" xfId="0" applyNumberFormat="1" applyFont="1"/>
    <xf numFmtId="165" fontId="7" fillId="0" borderId="0" xfId="0" applyNumberFormat="1" applyFont="1"/>
    <xf numFmtId="0" fontId="8" fillId="3" borderId="0" xfId="0" applyFont="1" applyFill="1"/>
    <xf numFmtId="0" fontId="0" fillId="3" borderId="0" xfId="0" applyFill="1"/>
    <xf numFmtId="165" fontId="4" fillId="2" borderId="0" xfId="0" applyNumberFormat="1" applyFont="1" applyFill="1"/>
    <xf numFmtId="0" fontId="9" fillId="0" borderId="0" xfId="0" applyFont="1" applyAlignment="1">
      <alignment horizontal="left" vertical="center"/>
    </xf>
    <xf numFmtId="164" fontId="5" fillId="0" borderId="0" xfId="0" applyNumberFormat="1" applyFont="1"/>
    <xf numFmtId="0" fontId="4" fillId="2" borderId="0" xfId="0" applyFont="1" applyFill="1"/>
    <xf numFmtId="3" fontId="5" fillId="0" borderId="0" xfId="0" applyNumberFormat="1" applyFont="1"/>
    <xf numFmtId="0" fontId="1" fillId="2"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166" fontId="5" fillId="0" borderId="0" xfId="0" applyNumberFormat="1" applyFont="1"/>
    <xf numFmtId="0" fontId="10" fillId="0" borderId="0" xfId="0" applyFont="1" applyAlignment="1">
      <alignment horizontal="left" vertical="center" wrapText="1"/>
    </xf>
    <xf numFmtId="166" fontId="10" fillId="0" borderId="0" xfId="0" applyNumberFormat="1" applyFont="1"/>
    <xf numFmtId="164" fontId="10" fillId="0" borderId="0" xfId="0" applyNumberFormat="1" applyFont="1"/>
    <xf numFmtId="0" fontId="5" fillId="0" borderId="0" xfId="0" applyFont="1" applyAlignment="1">
      <alignment horizontal="center" vertical="center" wrapText="1"/>
    </xf>
    <xf numFmtId="0" fontId="9" fillId="0" borderId="0" xfId="0" applyFont="1"/>
    <xf numFmtId="167" fontId="4" fillId="2" borderId="0" xfId="0" applyNumberFormat="1" applyFont="1" applyFill="1"/>
    <xf numFmtId="168" fontId="4" fillId="2" borderId="0" xfId="0" applyNumberFormat="1" applyFont="1" applyFill="1"/>
    <xf numFmtId="169" fontId="5" fillId="0" borderId="0" xfId="0" applyNumberFormat="1" applyFont="1"/>
    <xf numFmtId="0" fontId="11" fillId="4" borderId="0" xfId="0" applyFont="1" applyFill="1" applyAlignment="1">
      <alignment horizontal="center" vertical="center" wrapText="1"/>
    </xf>
    <xf numFmtId="165" fontId="12" fillId="0" borderId="0" xfId="0" applyNumberFormat="1" applyFont="1"/>
    <xf numFmtId="168" fontId="5" fillId="0" borderId="0" xfId="0" applyNumberFormat="1" applyFont="1"/>
    <xf numFmtId="164" fontId="7" fillId="0" borderId="0" xfId="0" applyNumberFormat="1" applyFont="1"/>
    <xf numFmtId="0" fontId="10" fillId="4" borderId="0" xfId="0" applyFont="1" applyFill="1" applyAlignment="1">
      <alignment horizontal="center" vertical="center" wrapText="1"/>
    </xf>
    <xf numFmtId="0" fontId="10" fillId="0" borderId="1" xfId="0" applyFont="1" applyBorder="1" applyAlignment="1">
      <alignment horizontal="left" vertical="center" wrapText="1"/>
    </xf>
    <xf numFmtId="165" fontId="12" fillId="0" borderId="1" xfId="0" applyNumberFormat="1" applyFont="1" applyBorder="1"/>
    <xf numFmtId="0" fontId="5" fillId="0" borderId="1" xfId="0" applyFont="1" applyBorder="1" applyAlignment="1">
      <alignment horizontal="center" vertical="center" wrapText="1"/>
    </xf>
    <xf numFmtId="0" fontId="0" fillId="0" borderId="1" xfId="0" applyBorder="1"/>
    <xf numFmtId="0" fontId="12" fillId="0" borderId="0" xfId="0" applyFont="1"/>
    <xf numFmtId="166" fontId="7" fillId="0" borderId="0" xfId="0" applyNumberFormat="1" applyFont="1"/>
    <xf numFmtId="167" fontId="4" fillId="2" borderId="0" xfId="0" applyNumberFormat="1" applyFont="1" applyFill="1" applyAlignment="1">
      <alignment horizontal="center" vertical="center" wrapText="1"/>
    </xf>
    <xf numFmtId="167" fontId="10" fillId="0" borderId="0" xfId="0" applyNumberFormat="1" applyFont="1" applyAlignment="1">
      <alignment horizontal="center" vertical="center" wrapText="1"/>
    </xf>
    <xf numFmtId="165" fontId="10" fillId="0" borderId="0" xfId="0" applyNumberFormat="1" applyFont="1"/>
    <xf numFmtId="167" fontId="7" fillId="0" borderId="0" xfId="0" applyNumberFormat="1" applyFont="1"/>
    <xf numFmtId="170" fontId="5" fillId="0" borderId="0" xfId="0" applyNumberFormat="1" applyFont="1"/>
    <xf numFmtId="170" fontId="10" fillId="0" borderId="0" xfId="0" applyNumberFormat="1" applyFont="1"/>
    <xf numFmtId="3" fontId="5" fillId="0" borderId="2" xfId="0" applyNumberFormat="1" applyFont="1" applyBorder="1"/>
    <xf numFmtId="0" fontId="5" fillId="0" borderId="2" xfId="0" applyFont="1" applyBorder="1" applyAlignment="1">
      <alignment horizontal="left" vertical="center" wrapText="1"/>
    </xf>
    <xf numFmtId="165" fontId="5" fillId="0" borderId="2" xfId="0" applyNumberFormat="1" applyFont="1" applyBorder="1"/>
    <xf numFmtId="165" fontId="10" fillId="0" borderId="2" xfId="0" applyNumberFormat="1" applyFont="1" applyBorder="1"/>
    <xf numFmtId="165" fontId="7" fillId="0" borderId="2" xfId="0" applyNumberFormat="1" applyFont="1" applyBorder="1"/>
    <xf numFmtId="169" fontId="5" fillId="0" borderId="2" xfId="0" applyNumberFormat="1" applyFont="1" applyBorder="1"/>
    <xf numFmtId="171" fontId="7" fillId="0" borderId="0" xfId="0" applyNumberFormat="1" applyFont="1"/>
    <xf numFmtId="171" fontId="5" fillId="0" borderId="0" xfId="0" applyNumberFormat="1" applyFont="1"/>
    <xf numFmtId="0" fontId="10" fillId="0" borderId="0" xfId="0" applyFont="1" applyAlignment="1">
      <alignment horizontal="center" vertical="center" wrapText="1"/>
    </xf>
    <xf numFmtId="0" fontId="11" fillId="5" borderId="0" xfId="0" applyFont="1" applyFill="1" applyAlignment="1">
      <alignment horizontal="center" vertical="center" wrapText="1"/>
    </xf>
    <xf numFmtId="0" fontId="0" fillId="0" borderId="2" xfId="0" applyBorder="1"/>
    <xf numFmtId="0" fontId="15" fillId="0" borderId="0" xfId="0" applyFont="1" applyAlignment="1">
      <alignment horizontal="right" vertical="center"/>
    </xf>
    <xf numFmtId="0" fontId="15" fillId="0" borderId="0" xfId="0" applyFont="1" applyAlignment="1">
      <alignment horizontal="center" vertical="center" wrapText="1"/>
    </xf>
    <xf numFmtId="164" fontId="6" fillId="0" borderId="0" xfId="0" applyNumberFormat="1" applyFont="1"/>
    <xf numFmtId="3" fontId="6" fillId="0" borderId="0" xfId="0" applyNumberFormat="1" applyFont="1"/>
    <xf numFmtId="3" fontId="10" fillId="0" borderId="0" xfId="0" applyNumberFormat="1" applyFont="1"/>
    <xf numFmtId="0" fontId="10" fillId="0" borderId="0" xfId="0" applyFont="1" applyAlignment="1">
      <alignment horizontal="left" vertical="center"/>
    </xf>
  </cellXfs>
  <cellStyles count="1">
    <cellStyle name="Normal" xfId="0" builtinId="0"/>
  </cellStyles>
  <dxfs count="10">
    <dxf>
      <font>
        <b/>
        <color rgb="FFD6453D"/>
        <name val="Inter"/>
        <charset val="1"/>
      </font>
    </dxf>
    <dxf>
      <font>
        <b/>
        <color rgb="FF00A63E"/>
        <name val="Inter"/>
        <charset val="1"/>
      </font>
    </dxf>
    <dxf>
      <font>
        <b/>
        <color rgb="FFD6453D"/>
        <name val="Inter"/>
        <charset val="1"/>
      </font>
    </dxf>
    <dxf>
      <font>
        <b/>
        <color rgb="FF00A63E"/>
        <name val="Inter"/>
        <charset val="1"/>
      </font>
    </dxf>
    <dxf>
      <font>
        <b/>
        <color rgb="FFD6453D"/>
        <name val="Inter"/>
        <charset val="1"/>
      </font>
    </dxf>
    <dxf>
      <font>
        <b/>
        <color rgb="FF00A63E"/>
        <name val="Inter"/>
        <charset val="1"/>
      </font>
    </dxf>
    <dxf>
      <font>
        <b/>
        <color rgb="FFD6453D"/>
        <name val="Inter"/>
        <charset val="1"/>
      </font>
    </dxf>
    <dxf>
      <font>
        <b/>
        <color rgb="FF00A63E"/>
        <name val="Inter"/>
        <charset val="1"/>
      </font>
    </dxf>
    <dxf>
      <font>
        <b/>
        <color rgb="FFD6453D"/>
        <name val="Inter"/>
        <charset val="1"/>
      </font>
    </dxf>
    <dxf>
      <font>
        <b/>
        <color rgb="FF00A63E"/>
        <name val="Inter"/>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CCD6"/>
      <rgbColor rgb="FF7B7C81"/>
      <rgbColor rgb="FF9999FF"/>
      <rgbColor rgb="FFD6453D"/>
      <rgbColor rgb="FFF5F7FE"/>
      <rgbColor rgb="FFE2E7FD"/>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878787"/>
      <rgbColor rgb="FF003366"/>
      <rgbColor rgb="FF00A63E"/>
      <rgbColor rgb="FF020512"/>
      <rgbColor rgb="FF333300"/>
      <rgbColor rgb="FF993300"/>
      <rgbColor rgb="FF993366"/>
      <rgbColor rgb="FF2544E0"/>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800" b="1" strike="noStrike" spc="-1">
                <a:solidFill>
                  <a:srgbClr val="000000"/>
                </a:solidFill>
                <a:latin typeface="Calibri"/>
              </a:defRPr>
            </a:pPr>
            <a:r>
              <a:rPr lang="fr-FR" sz="1800" b="1" strike="noStrike" spc="-1">
                <a:solidFill>
                  <a:srgbClr val="000000"/>
                </a:solidFill>
                <a:latin typeface="Calibri"/>
              </a:rPr>
              <a:t>Trajectoire d'ARR — trois scénarios (€)</a:t>
            </a:r>
          </a:p>
        </c:rich>
      </c:tx>
      <c:overlay val="0"/>
      <c:spPr>
        <a:noFill/>
        <a:ln w="0">
          <a:noFill/>
        </a:ln>
      </c:spPr>
    </c:title>
    <c:autoTitleDeleted val="0"/>
    <c:plotArea>
      <c:layout/>
      <c:lineChart>
        <c:grouping val="standard"/>
        <c:varyColors val="0"/>
        <c:ser>
          <c:idx val="0"/>
          <c:order val="0"/>
          <c:tx>
            <c:v>Prudent</c:v>
          </c:tx>
          <c:spPr>
            <a:ln w="18000">
              <a:solidFill>
                <a:srgbClr val="7B7C81"/>
              </a:solidFill>
              <a:round/>
            </a:ln>
          </c:spPr>
          <c:marker>
            <c:symbol val="none"/>
          </c:marker>
          <c:dLbls>
            <c:spPr>
              <a:noFill/>
              <a:ln>
                <a:noFill/>
              </a:ln>
              <a:effectLst/>
            </c:spPr>
            <c:txPr>
              <a:bodyPr wrap="none"/>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Projection!$B$7:$B$43</c:f>
              <c:strCache>
                <c:ptCount val="37"/>
                <c:pt idx="0">
                  <c:v>août 2026 (départ)</c:v>
                </c:pt>
                <c:pt idx="1">
                  <c:v>sept. 2026</c:v>
                </c:pt>
                <c:pt idx="2">
                  <c:v>oct. 2026</c:v>
                </c:pt>
                <c:pt idx="3">
                  <c:v>nov. 2026</c:v>
                </c:pt>
                <c:pt idx="4">
                  <c:v>déc. 2026</c:v>
                </c:pt>
                <c:pt idx="5">
                  <c:v>janv. 2027</c:v>
                </c:pt>
                <c:pt idx="6">
                  <c:v>févr. 2027</c:v>
                </c:pt>
                <c:pt idx="7">
                  <c:v>mars 2027</c:v>
                </c:pt>
                <c:pt idx="8">
                  <c:v>avr. 2027</c:v>
                </c:pt>
                <c:pt idx="9">
                  <c:v>mai 2027</c:v>
                </c:pt>
                <c:pt idx="10">
                  <c:v>juin 2027</c:v>
                </c:pt>
                <c:pt idx="11">
                  <c:v>juil. 2027</c:v>
                </c:pt>
                <c:pt idx="12">
                  <c:v>août 2027</c:v>
                </c:pt>
                <c:pt idx="13">
                  <c:v>sept. 2027</c:v>
                </c:pt>
                <c:pt idx="14">
                  <c:v>oct. 2027</c:v>
                </c:pt>
                <c:pt idx="15">
                  <c:v>nov. 2027</c:v>
                </c:pt>
                <c:pt idx="16">
                  <c:v>déc. 2027</c:v>
                </c:pt>
                <c:pt idx="17">
                  <c:v>janv. 2028</c:v>
                </c:pt>
                <c:pt idx="18">
                  <c:v>févr. 2028</c:v>
                </c:pt>
                <c:pt idx="19">
                  <c:v>mars 2028</c:v>
                </c:pt>
                <c:pt idx="20">
                  <c:v>avr. 2028</c:v>
                </c:pt>
                <c:pt idx="21">
                  <c:v>mai 2028</c:v>
                </c:pt>
                <c:pt idx="22">
                  <c:v>juin 2028</c:v>
                </c:pt>
                <c:pt idx="23">
                  <c:v>juil. 2028</c:v>
                </c:pt>
                <c:pt idx="24">
                  <c:v>août 2028</c:v>
                </c:pt>
                <c:pt idx="25">
                  <c:v>sept. 2028</c:v>
                </c:pt>
                <c:pt idx="26">
                  <c:v>oct. 2028</c:v>
                </c:pt>
                <c:pt idx="27">
                  <c:v>nov. 2028</c:v>
                </c:pt>
                <c:pt idx="28">
                  <c:v>déc. 2028</c:v>
                </c:pt>
                <c:pt idx="29">
                  <c:v>janv. 2029</c:v>
                </c:pt>
                <c:pt idx="30">
                  <c:v>févr. 2029</c:v>
                </c:pt>
                <c:pt idx="31">
                  <c:v>mars 2029</c:v>
                </c:pt>
                <c:pt idx="32">
                  <c:v>avr. 2029</c:v>
                </c:pt>
                <c:pt idx="33">
                  <c:v>mai 2029</c:v>
                </c:pt>
                <c:pt idx="34">
                  <c:v>juin 2029</c:v>
                </c:pt>
                <c:pt idx="35">
                  <c:v>juil. 2029</c:v>
                </c:pt>
                <c:pt idx="36">
                  <c:v>août 2029</c:v>
                </c:pt>
              </c:strCache>
            </c:strRef>
          </c:cat>
          <c:val>
            <c:numRef>
              <c:f>Projection!$I$7:$I$43</c:f>
              <c:numCache>
                <c:formatCode>#\ ##0;\-#\ ##0;\-</c:formatCode>
                <c:ptCount val="37"/>
                <c:pt idx="0">
                  <c:v>21405603.59</c:v>
                </c:pt>
                <c:pt idx="1">
                  <c:v>22168648.50283502</c:v>
                </c:pt>
                <c:pt idx="2">
                  <c:v>22933848.100151211</c:v>
                </c:pt>
                <c:pt idx="3">
                  <c:v>23701208.466341686</c:v>
                </c:pt>
                <c:pt idx="4">
                  <c:v>24470735.702980641</c:v>
                </c:pt>
                <c:pt idx="5">
                  <c:v>25242435.928871911</c:v>
                </c:pt>
                <c:pt idx="6">
                  <c:v>26016315.280097574</c:v>
                </c:pt>
                <c:pt idx="7">
                  <c:v>26792379.910066772</c:v>
                </c:pt>
                <c:pt idx="8">
                  <c:v>27570635.989564624</c:v>
                </c:pt>
                <c:pt idx="9">
                  <c:v>28351089.706801303</c:v>
                </c:pt>
                <c:pt idx="10">
                  <c:v>29133747.267461237</c:v>
                </c:pt>
                <c:pt idx="11">
                  <c:v>29918614.894752443</c:v>
                </c:pt>
                <c:pt idx="12">
                  <c:v>30705698.829456031</c:v>
                </c:pt>
                <c:pt idx="13">
                  <c:v>31495005.329975802</c:v>
                </c:pt>
                <c:pt idx="14">
                  <c:v>32286540.672388028</c:v>
                </c:pt>
                <c:pt idx="15">
                  <c:v>33080311.150491353</c:v>
                </c:pt>
                <c:pt idx="16">
                  <c:v>33876323.075856842</c:v>
                </c:pt>
                <c:pt idx="17">
                  <c:v>34674582.777878135</c:v>
                </c:pt>
                <c:pt idx="18">
                  <c:v>35475096.603821836</c:v>
                </c:pt>
                <c:pt idx="19">
                  <c:v>36277870.918877915</c:v>
                </c:pt>
                <c:pt idx="20">
                  <c:v>37082912.106210358</c:v>
                </c:pt>
                <c:pt idx="21">
                  <c:v>37890226.567007914</c:v>
                </c:pt>
                <c:pt idx="22">
                  <c:v>38699820.72053501</c:v>
                </c:pt>
                <c:pt idx="23">
                  <c:v>39511701.004182763</c:v>
                </c:pt>
                <c:pt idx="24">
                  <c:v>40325873.873520188</c:v>
                </c:pt>
                <c:pt idx="25">
                  <c:v>41142345.802345514</c:v>
                </c:pt>
                <c:pt idx="26">
                  <c:v>41961123.282737665</c:v>
                </c:pt>
                <c:pt idx="27">
                  <c:v>42782212.825107902</c:v>
                </c:pt>
                <c:pt idx="28">
                  <c:v>43605620.958251543</c:v>
                </c:pt>
                <c:pt idx="29">
                  <c:v>44431354.229399912</c:v>
                </c:pt>
                <c:pt idx="30">
                  <c:v>45259419.204272397</c:v>
                </c:pt>
                <c:pt idx="31">
                  <c:v>46089822.467128642</c:v>
                </c:pt>
                <c:pt idx="32">
                  <c:v>46922570.62082091</c:v>
                </c:pt>
                <c:pt idx="33">
                  <c:v>47757670.286846593</c:v>
                </c:pt>
                <c:pt idx="34">
                  <c:v>48595128.105400845</c:v>
                </c:pt>
                <c:pt idx="35">
                  <c:v>49434950.735429384</c:v>
                </c:pt>
                <c:pt idx="36">
                  <c:v>50277144.854681447</c:v>
                </c:pt>
              </c:numCache>
            </c:numRef>
          </c:val>
          <c:smooth val="0"/>
          <c:extLst>
            <c:ext xmlns:c16="http://schemas.microsoft.com/office/drawing/2014/chart" uri="{C3380CC4-5D6E-409C-BE32-E72D297353CC}">
              <c16:uniqueId val="{00000000-29A3-45EF-B3D2-D58037A7E07C}"/>
            </c:ext>
          </c:extLst>
        </c:ser>
        <c:ser>
          <c:idx val="1"/>
          <c:order val="1"/>
          <c:tx>
            <c:v>Central</c:v>
          </c:tx>
          <c:spPr>
            <a:ln w="28080">
              <a:solidFill>
                <a:srgbClr val="2544E0"/>
              </a:solidFill>
              <a:round/>
            </a:ln>
          </c:spPr>
          <c:marker>
            <c:symbol val="none"/>
          </c:marker>
          <c:dLbls>
            <c:spPr>
              <a:noFill/>
              <a:ln>
                <a:noFill/>
              </a:ln>
              <a:effectLst/>
            </c:spPr>
            <c:txPr>
              <a:bodyPr wrap="none"/>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Projection!$B$7:$B$43</c:f>
              <c:strCache>
                <c:ptCount val="37"/>
                <c:pt idx="0">
                  <c:v>août 2026 (départ)</c:v>
                </c:pt>
                <c:pt idx="1">
                  <c:v>sept. 2026</c:v>
                </c:pt>
                <c:pt idx="2">
                  <c:v>oct. 2026</c:v>
                </c:pt>
                <c:pt idx="3">
                  <c:v>nov. 2026</c:v>
                </c:pt>
                <c:pt idx="4">
                  <c:v>déc. 2026</c:v>
                </c:pt>
                <c:pt idx="5">
                  <c:v>janv. 2027</c:v>
                </c:pt>
                <c:pt idx="6">
                  <c:v>févr. 2027</c:v>
                </c:pt>
                <c:pt idx="7">
                  <c:v>mars 2027</c:v>
                </c:pt>
                <c:pt idx="8">
                  <c:v>avr. 2027</c:v>
                </c:pt>
                <c:pt idx="9">
                  <c:v>mai 2027</c:v>
                </c:pt>
                <c:pt idx="10">
                  <c:v>juin 2027</c:v>
                </c:pt>
                <c:pt idx="11">
                  <c:v>juil. 2027</c:v>
                </c:pt>
                <c:pt idx="12">
                  <c:v>août 2027</c:v>
                </c:pt>
                <c:pt idx="13">
                  <c:v>sept. 2027</c:v>
                </c:pt>
                <c:pt idx="14">
                  <c:v>oct. 2027</c:v>
                </c:pt>
                <c:pt idx="15">
                  <c:v>nov. 2027</c:v>
                </c:pt>
                <c:pt idx="16">
                  <c:v>déc. 2027</c:v>
                </c:pt>
                <c:pt idx="17">
                  <c:v>janv. 2028</c:v>
                </c:pt>
                <c:pt idx="18">
                  <c:v>févr. 2028</c:v>
                </c:pt>
                <c:pt idx="19">
                  <c:v>mars 2028</c:v>
                </c:pt>
                <c:pt idx="20">
                  <c:v>avr. 2028</c:v>
                </c:pt>
                <c:pt idx="21">
                  <c:v>mai 2028</c:v>
                </c:pt>
                <c:pt idx="22">
                  <c:v>juin 2028</c:v>
                </c:pt>
                <c:pt idx="23">
                  <c:v>juil. 2028</c:v>
                </c:pt>
                <c:pt idx="24">
                  <c:v>août 2028</c:v>
                </c:pt>
                <c:pt idx="25">
                  <c:v>sept. 2028</c:v>
                </c:pt>
                <c:pt idx="26">
                  <c:v>oct. 2028</c:v>
                </c:pt>
                <c:pt idx="27">
                  <c:v>nov. 2028</c:v>
                </c:pt>
                <c:pt idx="28">
                  <c:v>déc. 2028</c:v>
                </c:pt>
                <c:pt idx="29">
                  <c:v>janv. 2029</c:v>
                </c:pt>
                <c:pt idx="30">
                  <c:v>févr. 2029</c:v>
                </c:pt>
                <c:pt idx="31">
                  <c:v>mars 2029</c:v>
                </c:pt>
                <c:pt idx="32">
                  <c:v>avr. 2029</c:v>
                </c:pt>
                <c:pt idx="33">
                  <c:v>mai 2029</c:v>
                </c:pt>
                <c:pt idx="34">
                  <c:v>juin 2029</c:v>
                </c:pt>
                <c:pt idx="35">
                  <c:v>juil. 2029</c:v>
                </c:pt>
                <c:pt idx="36">
                  <c:v>août 2029</c:v>
                </c:pt>
              </c:strCache>
            </c:strRef>
          </c:cat>
          <c:val>
            <c:numRef>
              <c:f>Projection!$Q$7:$Q$43</c:f>
              <c:numCache>
                <c:formatCode>#\ ##0;\-#\ ##0;\-</c:formatCode>
                <c:ptCount val="37"/>
                <c:pt idx="0">
                  <c:v>21405603.59</c:v>
                </c:pt>
                <c:pt idx="1">
                  <c:v>22246967.999648459</c:v>
                </c:pt>
                <c:pt idx="2">
                  <c:v>23099213.752727423</c:v>
                </c:pt>
                <c:pt idx="3">
                  <c:v>23962453.573315348</c:v>
                </c:pt>
                <c:pt idx="4">
                  <c:v>24836801.245829854</c:v>
                </c:pt>
                <c:pt idx="5">
                  <c:v>25722371.624487415</c:v>
                </c:pt>
                <c:pt idx="6">
                  <c:v>26619280.642844804</c:v>
                </c:pt>
                <c:pt idx="7">
                  <c:v>27527645.323422849</c:v>
                </c:pt>
                <c:pt idx="8">
                  <c:v>28447583.787413295</c:v>
                </c:pt>
                <c:pt idx="9">
                  <c:v>29379215.264469415</c:v>
                </c:pt>
                <c:pt idx="10">
                  <c:v>30322660.10258111</c:v>
                </c:pt>
                <c:pt idx="11">
                  <c:v>31278039.778035209</c:v>
                </c:pt>
                <c:pt idx="12">
                  <c:v>32245476.905461632</c:v>
                </c:pt>
                <c:pt idx="13">
                  <c:v>33225095.247966267</c:v>
                </c:pt>
                <c:pt idx="14">
                  <c:v>34217019.727351137</c:v>
                </c:pt>
                <c:pt idx="15">
                  <c:v>35221376.434422687</c:v>
                </c:pt>
                <c:pt idx="16">
                  <c:v>36238292.639389008</c:v>
                </c:pt>
                <c:pt idx="17">
                  <c:v>37267896.80234652</c:v>
                </c:pt>
                <c:pt idx="18">
                  <c:v>38310318.583857074</c:v>
                </c:pt>
                <c:pt idx="19">
                  <c:v>39365688.855616234</c:v>
                </c:pt>
                <c:pt idx="20">
                  <c:v>40434139.711213335</c:v>
                </c:pt>
                <c:pt idx="21">
                  <c:v>41515804.47698424</c:v>
                </c:pt>
                <c:pt idx="22">
                  <c:v>42610817.722957574</c:v>
                </c:pt>
                <c:pt idx="23">
                  <c:v>43719315.273895159</c:v>
                </c:pt>
                <c:pt idx="24">
                  <c:v>44841434.220427461</c:v>
                </c:pt>
                <c:pt idx="25">
                  <c:v>45977312.930284888</c:v>
                </c:pt>
                <c:pt idx="26">
                  <c:v>47127091.059625715</c:v>
                </c:pt>
                <c:pt idx="27">
                  <c:v>48290909.56446144</c:v>
                </c:pt>
                <c:pt idx="28">
                  <c:v>49468910.712180428</c:v>
                </c:pt>
                <c:pt idx="29">
                  <c:v>50661238.093170643</c:v>
                </c:pt>
                <c:pt idx="30">
                  <c:v>51868036.632542334</c:v>
                </c:pt>
                <c:pt idx="31">
                  <c:v>53089452.601951458</c:v>
                </c:pt>
                <c:pt idx="32">
                  <c:v>54325633.631524734</c:v>
                </c:pt>
                <c:pt idx="33">
                  <c:v>55576728.721887253</c:v>
                </c:pt>
                <c:pt idx="34">
                  <c:v>56842888.256293289</c:v>
                </c:pt>
                <c:pt idx="35">
                  <c:v>58124264.012861438</c:v>
                </c:pt>
                <c:pt idx="36">
                  <c:v>59421009.176914826</c:v>
                </c:pt>
              </c:numCache>
            </c:numRef>
          </c:val>
          <c:smooth val="0"/>
          <c:extLst>
            <c:ext xmlns:c16="http://schemas.microsoft.com/office/drawing/2014/chart" uri="{C3380CC4-5D6E-409C-BE32-E72D297353CC}">
              <c16:uniqueId val="{00000001-29A3-45EF-B3D2-D58037A7E07C}"/>
            </c:ext>
          </c:extLst>
        </c:ser>
        <c:ser>
          <c:idx val="2"/>
          <c:order val="2"/>
          <c:tx>
            <c:v>Ambition</c:v>
          </c:tx>
          <c:spPr>
            <a:ln w="18000">
              <a:solidFill>
                <a:srgbClr val="020512"/>
              </a:solidFill>
              <a:round/>
            </a:ln>
          </c:spPr>
          <c:marker>
            <c:symbol val="none"/>
          </c:marker>
          <c:dLbls>
            <c:spPr>
              <a:noFill/>
              <a:ln>
                <a:noFill/>
              </a:ln>
              <a:effectLst/>
            </c:spPr>
            <c:txPr>
              <a:bodyPr wrap="none"/>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Projection!$B$7:$B$43</c:f>
              <c:strCache>
                <c:ptCount val="37"/>
                <c:pt idx="0">
                  <c:v>août 2026 (départ)</c:v>
                </c:pt>
                <c:pt idx="1">
                  <c:v>sept. 2026</c:v>
                </c:pt>
                <c:pt idx="2">
                  <c:v>oct. 2026</c:v>
                </c:pt>
                <c:pt idx="3">
                  <c:v>nov. 2026</c:v>
                </c:pt>
                <c:pt idx="4">
                  <c:v>déc. 2026</c:v>
                </c:pt>
                <c:pt idx="5">
                  <c:v>janv. 2027</c:v>
                </c:pt>
                <c:pt idx="6">
                  <c:v>févr. 2027</c:v>
                </c:pt>
                <c:pt idx="7">
                  <c:v>mars 2027</c:v>
                </c:pt>
                <c:pt idx="8">
                  <c:v>avr. 2027</c:v>
                </c:pt>
                <c:pt idx="9">
                  <c:v>mai 2027</c:v>
                </c:pt>
                <c:pt idx="10">
                  <c:v>juin 2027</c:v>
                </c:pt>
                <c:pt idx="11">
                  <c:v>juil. 2027</c:v>
                </c:pt>
                <c:pt idx="12">
                  <c:v>août 2027</c:v>
                </c:pt>
                <c:pt idx="13">
                  <c:v>sept. 2027</c:v>
                </c:pt>
                <c:pt idx="14">
                  <c:v>oct. 2027</c:v>
                </c:pt>
                <c:pt idx="15">
                  <c:v>nov. 2027</c:v>
                </c:pt>
                <c:pt idx="16">
                  <c:v>déc. 2027</c:v>
                </c:pt>
                <c:pt idx="17">
                  <c:v>janv. 2028</c:v>
                </c:pt>
                <c:pt idx="18">
                  <c:v>févr. 2028</c:v>
                </c:pt>
                <c:pt idx="19">
                  <c:v>mars 2028</c:v>
                </c:pt>
                <c:pt idx="20">
                  <c:v>avr. 2028</c:v>
                </c:pt>
                <c:pt idx="21">
                  <c:v>mai 2028</c:v>
                </c:pt>
                <c:pt idx="22">
                  <c:v>juin 2028</c:v>
                </c:pt>
                <c:pt idx="23">
                  <c:v>juil. 2028</c:v>
                </c:pt>
                <c:pt idx="24">
                  <c:v>août 2028</c:v>
                </c:pt>
                <c:pt idx="25">
                  <c:v>sept. 2028</c:v>
                </c:pt>
                <c:pt idx="26">
                  <c:v>oct. 2028</c:v>
                </c:pt>
                <c:pt idx="27">
                  <c:v>nov. 2028</c:v>
                </c:pt>
                <c:pt idx="28">
                  <c:v>déc. 2028</c:v>
                </c:pt>
                <c:pt idx="29">
                  <c:v>janv. 2029</c:v>
                </c:pt>
                <c:pt idx="30">
                  <c:v>févr. 2029</c:v>
                </c:pt>
                <c:pt idx="31">
                  <c:v>mars 2029</c:v>
                </c:pt>
                <c:pt idx="32">
                  <c:v>avr. 2029</c:v>
                </c:pt>
                <c:pt idx="33">
                  <c:v>mai 2029</c:v>
                </c:pt>
                <c:pt idx="34">
                  <c:v>juin 2029</c:v>
                </c:pt>
                <c:pt idx="35">
                  <c:v>juil. 2029</c:v>
                </c:pt>
                <c:pt idx="36">
                  <c:v>août 2029</c:v>
                </c:pt>
              </c:strCache>
            </c:strRef>
          </c:cat>
          <c:val>
            <c:numRef>
              <c:f>Projection!$Y$7:$Y$43</c:f>
              <c:numCache>
                <c:formatCode>#\ ##0;\-#\ ##0;\-</c:formatCode>
                <c:ptCount val="37"/>
                <c:pt idx="0">
                  <c:v>21405603.59</c:v>
                </c:pt>
                <c:pt idx="1">
                  <c:v>22323453.378347792</c:v>
                </c:pt>
                <c:pt idx="2">
                  <c:v>23260992.741210818</c:v>
                </c:pt>
                <c:pt idx="3">
                  <c:v>24218576.974793706</c:v>
                </c:pt>
                <c:pt idx="4">
                  <c:v>25196567.329229813</c:v>
                </c:pt>
                <c:pt idx="5">
                  <c:v>26195331.104648203</c:v>
                </c:pt>
                <c:pt idx="6">
                  <c:v>27215241.748758279</c:v>
                </c:pt>
                <c:pt idx="7">
                  <c:v>28256678.955975845</c:v>
                </c:pt>
                <c:pt idx="8">
                  <c:v>29320028.768114522</c:v>
                </c:pt>
                <c:pt idx="9">
                  <c:v>30405683.676667091</c:v>
                </c:pt>
                <c:pt idx="10">
                  <c:v>31514042.726701435</c:v>
                </c:pt>
                <c:pt idx="11">
                  <c:v>32645511.622396331</c:v>
                </c:pt>
                <c:pt idx="12">
                  <c:v>33800502.834242672</c:v>
                </c:pt>
                <c:pt idx="13">
                  <c:v>34979435.707936049</c:v>
                </c:pt>
                <c:pt idx="14">
                  <c:v>36182736.574987106</c:v>
                </c:pt>
                <c:pt idx="15">
                  <c:v>37410838.86507643</c:v>
                </c:pt>
                <c:pt idx="16">
                  <c:v>38664183.220181204</c:v>
                </c:pt>
                <c:pt idx="17">
                  <c:v>39943217.610501148</c:v>
                </c:pt>
                <c:pt idx="18">
                  <c:v>41248397.452211909</c:v>
                </c:pt>
                <c:pt idx="19">
                  <c:v>42580185.727074355</c:v>
                </c:pt>
                <c:pt idx="20">
                  <c:v>43939053.103928581</c:v>
                </c:pt>
                <c:pt idx="21">
                  <c:v>45325478.062102184</c:v>
                </c:pt>
                <c:pt idx="22">
                  <c:v>46739947.01676245</c:v>
                </c:pt>
                <c:pt idx="23">
                  <c:v>48182954.446242861</c:v>
                </c:pt>
                <c:pt idx="24">
                  <c:v>49655003.021374576</c:v>
                </c:pt>
                <c:pt idx="25">
                  <c:v>51156603.736854248</c:v>
                </c:pt>
                <c:pt idx="26">
                  <c:v>52688276.044679709</c:v>
                </c:pt>
                <c:pt idx="27">
                  <c:v>54250547.989685893</c:v>
                </c:pt>
                <c:pt idx="28">
                  <c:v>55843956.347213574</c:v>
                </c:pt>
                <c:pt idx="29">
                  <c:v>57469046.762944244</c:v>
                </c:pt>
                <c:pt idx="30">
                  <c:v>59126373.894934744</c:v>
                </c:pt>
                <c:pt idx="31">
                  <c:v>60816501.55788587</c:v>
                </c:pt>
                <c:pt idx="32">
                  <c:v>62540002.869679898</c:v>
                </c:pt>
                <c:pt idx="33">
                  <c:v>64297460.40022216</c:v>
                </c:pt>
                <c:pt idx="34">
                  <c:v>66089466.32262259</c:v>
                </c:pt>
                <c:pt idx="35">
                  <c:v>67916622.566753641</c:v>
                </c:pt>
                <c:pt idx="36">
                  <c:v>69779540.975221589</c:v>
                </c:pt>
              </c:numCache>
            </c:numRef>
          </c:val>
          <c:smooth val="0"/>
          <c:extLst>
            <c:ext xmlns:c16="http://schemas.microsoft.com/office/drawing/2014/chart" uri="{C3380CC4-5D6E-409C-BE32-E72D297353CC}">
              <c16:uniqueId val="{00000002-29A3-45EF-B3D2-D58037A7E07C}"/>
            </c:ext>
          </c:extLst>
        </c:ser>
        <c:dLbls>
          <c:showLegendKey val="0"/>
          <c:showVal val="0"/>
          <c:showCatName val="0"/>
          <c:showSerName val="0"/>
          <c:showPercent val="0"/>
          <c:showBubbleSize val="0"/>
        </c:dLbls>
        <c:hiLowLines>
          <c:spPr>
            <a:ln w="0">
              <a:noFill/>
            </a:ln>
          </c:spPr>
        </c:hiLowLines>
        <c:smooth val="0"/>
        <c:axId val="76265895"/>
        <c:axId val="34422648"/>
      </c:lineChart>
      <c:catAx>
        <c:axId val="7626589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fr-FR"/>
          </a:p>
        </c:txPr>
        <c:crossAx val="34422648"/>
        <c:crosses val="autoZero"/>
        <c:auto val="1"/>
        <c:lblAlgn val="ctr"/>
        <c:lblOffset val="100"/>
        <c:noMultiLvlLbl val="0"/>
      </c:catAx>
      <c:valAx>
        <c:axId val="34422648"/>
        <c:scaling>
          <c:orientation val="minMax"/>
        </c:scaling>
        <c:delete val="0"/>
        <c:axPos val="l"/>
        <c:title>
          <c:tx>
            <c:rich>
              <a:bodyPr rot="-5400000"/>
              <a:lstStyle/>
              <a:p>
                <a:pPr>
                  <a:defRPr sz="1000" b="1" strike="noStrike" spc="-1">
                    <a:solidFill>
                      <a:srgbClr val="000000"/>
                    </a:solidFill>
                    <a:latin typeface="Calibri"/>
                  </a:defRPr>
                </a:pPr>
                <a:r>
                  <a:rPr lang="fr-FR" sz="1000" b="1" strike="noStrike" spc="-1">
                    <a:solidFill>
                      <a:srgbClr val="000000"/>
                    </a:solidFill>
                    <a:latin typeface="Calibri"/>
                  </a:rPr>
                  <a:t>ARR (€)</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fr-FR"/>
          </a:p>
        </c:txPr>
        <c:crossAx val="76265895"/>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fr-FR"/>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c:style val="2"/>
  <c:chart>
    <c:title>
      <c:tx>
        <c:rich>
          <a:bodyPr rot="0"/>
          <a:lstStyle/>
          <a:p>
            <a:pPr>
              <a:defRPr sz="1800" b="1" strike="noStrike" spc="-1">
                <a:solidFill>
                  <a:srgbClr val="000000"/>
                </a:solidFill>
                <a:latin typeface="Calibri"/>
              </a:defRPr>
            </a:pPr>
            <a:r>
              <a:rPr lang="fr-FR" sz="1800" b="1" strike="noStrike" spc="-1">
                <a:solidFill>
                  <a:srgbClr val="000000"/>
                </a:solidFill>
                <a:latin typeface="Calibri"/>
              </a:rPr>
              <a:t>Net new ARR par année (€)</a:t>
            </a:r>
          </a:p>
        </c:rich>
      </c:tx>
      <c:overlay val="0"/>
      <c:spPr>
        <a:noFill/>
        <a:ln w="0">
          <a:noFill/>
        </a:ln>
      </c:spPr>
    </c:title>
    <c:autoTitleDeleted val="0"/>
    <c:plotArea>
      <c:layout/>
      <c:barChart>
        <c:barDir val="col"/>
        <c:grouping val="clustered"/>
        <c:varyColors val="0"/>
        <c:ser>
          <c:idx val="0"/>
          <c:order val="0"/>
          <c:tx>
            <c:strRef>
              <c:f>Synthèse!$A$45</c:f>
              <c:strCache>
                <c:ptCount val="1"/>
                <c:pt idx="0">
                  <c:v>Prudent</c:v>
                </c:pt>
              </c:strCache>
            </c:strRef>
          </c:tx>
          <c:spPr>
            <a:solidFill>
              <a:srgbClr val="7B7C81"/>
            </a:solidFill>
            <a:ln w="0">
              <a:solidFill>
                <a:srgbClr val="7B7C81"/>
              </a:solidFill>
            </a:ln>
          </c:spPr>
          <c:invertIfNegative val="0"/>
          <c:dLbls>
            <c:spPr>
              <a:noFill/>
              <a:ln>
                <a:noFill/>
              </a:ln>
              <a:effectLst/>
            </c:spPr>
            <c:txPr>
              <a:bodyPr wrap="none"/>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Synthèse!$B$44:$D$44</c:f>
              <c:strCache>
                <c:ptCount val="3"/>
                <c:pt idx="0">
                  <c:v>Année 1</c:v>
                </c:pt>
                <c:pt idx="1">
                  <c:v>Année 2</c:v>
                </c:pt>
                <c:pt idx="2">
                  <c:v>Année 3</c:v>
                </c:pt>
              </c:strCache>
            </c:strRef>
          </c:cat>
          <c:val>
            <c:numRef>
              <c:f>Synthèse!$B$45:$D$45</c:f>
              <c:numCache>
                <c:formatCode>#\ ##0;\-#\ ##0;\-</c:formatCode>
                <c:ptCount val="3"/>
                <c:pt idx="0">
                  <c:v>9300095.2394560315</c:v>
                </c:pt>
                <c:pt idx="1">
                  <c:v>9620175.0440641567</c:v>
                </c:pt>
                <c:pt idx="2">
                  <c:v>9951270.9811612591</c:v>
                </c:pt>
              </c:numCache>
            </c:numRef>
          </c:val>
          <c:extLst>
            <c:ext xmlns:c16="http://schemas.microsoft.com/office/drawing/2014/chart" uri="{C3380CC4-5D6E-409C-BE32-E72D297353CC}">
              <c16:uniqueId val="{00000000-5E28-4477-930B-6E69B8EDA124}"/>
            </c:ext>
          </c:extLst>
        </c:ser>
        <c:ser>
          <c:idx val="1"/>
          <c:order val="1"/>
          <c:tx>
            <c:strRef>
              <c:f>Synthèse!$A$46</c:f>
              <c:strCache>
                <c:ptCount val="1"/>
                <c:pt idx="0">
                  <c:v>Central</c:v>
                </c:pt>
              </c:strCache>
            </c:strRef>
          </c:tx>
          <c:spPr>
            <a:solidFill>
              <a:srgbClr val="2544E0"/>
            </a:solidFill>
            <a:ln w="0">
              <a:solidFill>
                <a:srgbClr val="2544E0"/>
              </a:solidFill>
            </a:ln>
          </c:spPr>
          <c:invertIfNegative val="0"/>
          <c:dLbls>
            <c:spPr>
              <a:noFill/>
              <a:ln>
                <a:noFill/>
              </a:ln>
              <a:effectLst/>
            </c:spPr>
            <c:txPr>
              <a:bodyPr wrap="none"/>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Synthèse!$B$44:$D$44</c:f>
              <c:strCache>
                <c:ptCount val="3"/>
                <c:pt idx="0">
                  <c:v>Année 1</c:v>
                </c:pt>
                <c:pt idx="1">
                  <c:v>Année 2</c:v>
                </c:pt>
                <c:pt idx="2">
                  <c:v>Année 3</c:v>
                </c:pt>
              </c:strCache>
            </c:strRef>
          </c:cat>
          <c:val>
            <c:numRef>
              <c:f>Synthèse!$B$46:$D$46</c:f>
              <c:numCache>
                <c:formatCode>#\ ##0;\-#\ ##0;\-</c:formatCode>
                <c:ptCount val="3"/>
                <c:pt idx="0">
                  <c:v>10839873.315461632</c:v>
                </c:pt>
                <c:pt idx="1">
                  <c:v>12595957.314965829</c:v>
                </c:pt>
                <c:pt idx="2">
                  <c:v>14579574.956487365</c:v>
                </c:pt>
              </c:numCache>
            </c:numRef>
          </c:val>
          <c:extLst>
            <c:ext xmlns:c16="http://schemas.microsoft.com/office/drawing/2014/chart" uri="{C3380CC4-5D6E-409C-BE32-E72D297353CC}">
              <c16:uniqueId val="{00000001-5E28-4477-930B-6E69B8EDA124}"/>
            </c:ext>
          </c:extLst>
        </c:ser>
        <c:ser>
          <c:idx val="2"/>
          <c:order val="2"/>
          <c:tx>
            <c:strRef>
              <c:f>Synthèse!$A$47</c:f>
              <c:strCache>
                <c:ptCount val="1"/>
                <c:pt idx="0">
                  <c:v>Ambition</c:v>
                </c:pt>
              </c:strCache>
            </c:strRef>
          </c:tx>
          <c:spPr>
            <a:solidFill>
              <a:srgbClr val="020512"/>
            </a:solidFill>
            <a:ln w="0">
              <a:solidFill>
                <a:srgbClr val="020512"/>
              </a:solidFill>
            </a:ln>
          </c:spPr>
          <c:invertIfNegative val="0"/>
          <c:dLbls>
            <c:spPr>
              <a:noFill/>
              <a:ln>
                <a:noFill/>
              </a:ln>
              <a:effectLst/>
            </c:spPr>
            <c:txPr>
              <a:bodyPr wrap="none"/>
              <a:lstStyle/>
              <a:p>
                <a:pPr>
                  <a:defRPr sz="1000" b="0" strike="noStrike" spc="-1">
                    <a:latin typeface="Arial"/>
                  </a:defRPr>
                </a:pPr>
                <a:endParaRPr lang="fr-FR"/>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Synthèse!$B$44:$D$44</c:f>
              <c:strCache>
                <c:ptCount val="3"/>
                <c:pt idx="0">
                  <c:v>Année 1</c:v>
                </c:pt>
                <c:pt idx="1">
                  <c:v>Année 2</c:v>
                </c:pt>
                <c:pt idx="2">
                  <c:v>Année 3</c:v>
                </c:pt>
              </c:strCache>
            </c:strRef>
          </c:cat>
          <c:val>
            <c:numRef>
              <c:f>Synthèse!$B$47:$D$47</c:f>
              <c:numCache>
                <c:formatCode>#\ ##0;\-#\ ##0;\-</c:formatCode>
                <c:ptCount val="3"/>
                <c:pt idx="0">
                  <c:v>12394899.244242672</c:v>
                </c:pt>
                <c:pt idx="1">
                  <c:v>15854500.187131904</c:v>
                </c:pt>
                <c:pt idx="2">
                  <c:v>20124537.953847013</c:v>
                </c:pt>
              </c:numCache>
            </c:numRef>
          </c:val>
          <c:extLst>
            <c:ext xmlns:c16="http://schemas.microsoft.com/office/drawing/2014/chart" uri="{C3380CC4-5D6E-409C-BE32-E72D297353CC}">
              <c16:uniqueId val="{00000002-5E28-4477-930B-6E69B8EDA124}"/>
            </c:ext>
          </c:extLst>
        </c:ser>
        <c:dLbls>
          <c:showLegendKey val="0"/>
          <c:showVal val="0"/>
          <c:showCatName val="0"/>
          <c:showSerName val="0"/>
          <c:showPercent val="0"/>
          <c:showBubbleSize val="0"/>
        </c:dLbls>
        <c:gapWidth val="150"/>
        <c:axId val="6137329"/>
        <c:axId val="50931527"/>
      </c:barChart>
      <c:catAx>
        <c:axId val="613732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fr-FR"/>
          </a:p>
        </c:txPr>
        <c:crossAx val="50931527"/>
        <c:crosses val="autoZero"/>
        <c:auto val="1"/>
        <c:lblAlgn val="ctr"/>
        <c:lblOffset val="100"/>
        <c:noMultiLvlLbl val="0"/>
      </c:catAx>
      <c:valAx>
        <c:axId val="50931527"/>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fr-FR"/>
          </a:p>
        </c:txPr>
        <c:crossAx val="6137329"/>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fr-FR"/>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4</xdr:row>
      <xdr:rowOff>0</xdr:rowOff>
    </xdr:from>
    <xdr:to>
      <xdr:col>22</xdr:col>
      <xdr:colOff>370080</xdr:colOff>
      <xdr:row>17</xdr:row>
      <xdr:rowOff>304920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25</xdr:row>
      <xdr:rowOff>0</xdr:rowOff>
    </xdr:from>
    <xdr:to>
      <xdr:col>22</xdr:col>
      <xdr:colOff>370080</xdr:colOff>
      <xdr:row>42</xdr:row>
      <xdr:rowOff>181080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544E0"/>
  </sheetPr>
  <dimension ref="A1:B28"/>
  <sheetViews>
    <sheetView showGridLines="0" tabSelected="1" zoomScaleNormal="100" workbookViewId="0">
      <selection activeCell="A2" sqref="A2"/>
    </sheetView>
  </sheetViews>
  <sheetFormatPr baseColWidth="10" defaultColWidth="8.6640625" defaultRowHeight="14.25"/>
  <cols>
    <col min="1" max="1" width="28" customWidth="1"/>
    <col min="2" max="2" width="120" customWidth="1"/>
  </cols>
  <sheetData>
    <row r="1" spans="1:2">
      <c r="A1" s="5" t="s">
        <v>0</v>
      </c>
    </row>
    <row r="2" spans="1:2" ht="25.5" customHeight="1">
      <c r="A2" s="6" t="s">
        <v>1</v>
      </c>
    </row>
    <row r="3" spans="1:2">
      <c r="A3" s="7" t="s">
        <v>2</v>
      </c>
    </row>
    <row r="5" spans="1:2" ht="45" customHeight="1">
      <c r="A5" s="8" t="s">
        <v>3</v>
      </c>
      <c r="B5" s="9" t="s">
        <v>4</v>
      </c>
    </row>
    <row r="7" spans="1:2" ht="60" customHeight="1">
      <c r="A7" s="8" t="s">
        <v>5</v>
      </c>
      <c r="B7" s="9" t="s">
        <v>6</v>
      </c>
    </row>
    <row r="9" spans="1:2" ht="60" customHeight="1">
      <c r="A9" s="8" t="s">
        <v>7</v>
      </c>
      <c r="B9" s="9" t="s">
        <v>8</v>
      </c>
    </row>
    <row r="11" spans="1:2" ht="60" customHeight="1">
      <c r="A11" s="8" t="s">
        <v>9</v>
      </c>
      <c r="B11" s="9" t="s">
        <v>10</v>
      </c>
    </row>
    <row r="13" spans="1:2" ht="60" customHeight="1">
      <c r="A13" s="8" t="s">
        <v>11</v>
      </c>
      <c r="B13" s="9" t="s">
        <v>12</v>
      </c>
    </row>
    <row r="15" spans="1:2" ht="30" customHeight="1">
      <c r="A15" s="8" t="s">
        <v>13</v>
      </c>
      <c r="B15" s="9" t="s">
        <v>14</v>
      </c>
    </row>
    <row r="17" spans="1:2" ht="30" customHeight="1">
      <c r="A17" s="8" t="s">
        <v>15</v>
      </c>
      <c r="B17" s="9" t="s">
        <v>16</v>
      </c>
    </row>
    <row r="19" spans="1:2" ht="45" customHeight="1">
      <c r="A19" s="8" t="s">
        <v>17</v>
      </c>
      <c r="B19" s="9" t="s">
        <v>18</v>
      </c>
    </row>
    <row r="21" spans="1:2" ht="60" customHeight="1">
      <c r="A21" s="8" t="s">
        <v>19</v>
      </c>
      <c r="B21" s="9" t="s">
        <v>20</v>
      </c>
    </row>
    <row r="24" spans="1:2">
      <c r="A24" s="8" t="s">
        <v>21</v>
      </c>
    </row>
    <row r="25" spans="1:2">
      <c r="A25" s="9" t="s">
        <v>22</v>
      </c>
      <c r="B25" s="10">
        <v>0.1</v>
      </c>
    </row>
    <row r="26" spans="1:2">
      <c r="A26" s="9" t="s">
        <v>23</v>
      </c>
      <c r="B26" s="11">
        <v>21405603.59</v>
      </c>
    </row>
    <row r="27" spans="1:2">
      <c r="A27" s="9" t="s">
        <v>24</v>
      </c>
      <c r="B27" s="12">
        <f>B26*(1+B25)</f>
        <v>23546163.949000001</v>
      </c>
    </row>
    <row r="28" spans="1:2">
      <c r="A28" s="9" t="s">
        <v>25</v>
      </c>
      <c r="B28" s="13">
        <f>Hypothèses!B6</f>
        <v>21405603.59</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44E0"/>
  </sheetPr>
  <dimension ref="A1:G55"/>
  <sheetViews>
    <sheetView showGridLines="0" zoomScaleNormal="100" workbookViewId="0">
      <pane ySplit="4" topLeftCell="A5" activePane="bottomLeft" state="frozen"/>
      <selection pane="bottomLeft"/>
    </sheetView>
  </sheetViews>
  <sheetFormatPr baseColWidth="10" defaultColWidth="8.6640625" defaultRowHeight="14.25"/>
  <cols>
    <col min="1" max="1" width="59.46484375" customWidth="1"/>
    <col min="2" max="2" width="18" customWidth="1"/>
    <col min="3" max="5" width="16" customWidth="1"/>
    <col min="6" max="6" width="3" customWidth="1"/>
    <col min="7" max="7" width="60" customWidth="1"/>
  </cols>
  <sheetData>
    <row r="1" spans="1:7">
      <c r="A1" s="5" t="s">
        <v>26</v>
      </c>
    </row>
    <row r="2" spans="1:7" ht="25.5" customHeight="1">
      <c r="A2" s="6" t="s">
        <v>27</v>
      </c>
    </row>
    <row r="3" spans="1:7">
      <c r="A3" s="7" t="s">
        <v>28</v>
      </c>
    </row>
    <row r="5" spans="1:7" ht="21.75" customHeight="1">
      <c r="A5" s="14" t="s">
        <v>29</v>
      </c>
      <c r="B5" s="15"/>
      <c r="C5" s="15"/>
      <c r="D5" s="15"/>
      <c r="E5" s="15"/>
    </row>
    <row r="6" spans="1:7">
      <c r="A6" s="9" t="s">
        <v>30</v>
      </c>
      <c r="B6" s="16">
        <v>21405603.59</v>
      </c>
      <c r="G6" s="17" t="s">
        <v>31</v>
      </c>
    </row>
    <row r="7" spans="1:7">
      <c r="A7" s="9" t="s">
        <v>32</v>
      </c>
      <c r="B7" s="13">
        <f>'Données ARR'!B42</f>
        <v>21405603.59</v>
      </c>
    </row>
    <row r="8" spans="1:7">
      <c r="A8" s="9" t="s">
        <v>33</v>
      </c>
      <c r="B8" s="13">
        <f>'Données ARR'!B40</f>
        <v>20600976.789999999</v>
      </c>
    </row>
    <row r="9" spans="1:7">
      <c r="A9" s="9" t="s">
        <v>34</v>
      </c>
      <c r="B9" s="13">
        <f>'Données ARR'!B28</f>
        <v>11281231.859999999</v>
      </c>
    </row>
    <row r="10" spans="1:7">
      <c r="A10" s="9" t="s">
        <v>35</v>
      </c>
      <c r="B10" s="18">
        <f>B8/B9-1</f>
        <v>0.82612830280043559</v>
      </c>
    </row>
    <row r="11" spans="1:7">
      <c r="A11" s="9" t="s">
        <v>36</v>
      </c>
      <c r="B11" s="19" t="s">
        <v>37</v>
      </c>
    </row>
    <row r="12" spans="1:7">
      <c r="A12" s="9" t="s">
        <v>38</v>
      </c>
      <c r="B12" s="20">
        <f>MATCH(B11,$C$29:$E$29,0)</f>
        <v>2</v>
      </c>
    </row>
    <row r="14" spans="1:7" ht="21.75" customHeight="1">
      <c r="A14" s="14" t="s">
        <v>39</v>
      </c>
      <c r="B14" s="15"/>
      <c r="C14" s="15"/>
      <c r="D14" s="15"/>
      <c r="E14" s="15"/>
    </row>
    <row r="15" spans="1:7" ht="21.75" customHeight="1">
      <c r="A15" s="21" t="s">
        <v>40</v>
      </c>
      <c r="B15" s="21" t="s">
        <v>41</v>
      </c>
      <c r="C15" s="21" t="s">
        <v>42</v>
      </c>
      <c r="D15" s="21" t="s">
        <v>43</v>
      </c>
      <c r="E15" s="21" t="s">
        <v>44</v>
      </c>
    </row>
    <row r="16" spans="1:7">
      <c r="A16" s="9" t="s">
        <v>45</v>
      </c>
      <c r="B16" s="13">
        <f>SUM('Données ARR'!E18:E29)</f>
        <v>8431197.8200000003</v>
      </c>
      <c r="C16" s="12">
        <f>B16/12</f>
        <v>702599.81833333336</v>
      </c>
      <c r="D16" s="22" t="s">
        <v>46</v>
      </c>
      <c r="E16" s="23" t="s">
        <v>47</v>
      </c>
    </row>
    <row r="17" spans="1:7" ht="25.5">
      <c r="A17" s="9" t="s">
        <v>48</v>
      </c>
      <c r="B17" s="13">
        <f>SUM('Données ARR'!F18:F29)</f>
        <v>3311450.8900000006</v>
      </c>
      <c r="C17" s="24">
        <f>B17/$B$23</f>
        <v>1.7770238359528429E-2</v>
      </c>
      <c r="D17" s="18">
        <f>(1+C17)^12-1</f>
        <v>0.23536975640032587</v>
      </c>
      <c r="E17" s="23" t="s">
        <v>49</v>
      </c>
    </row>
    <row r="18" spans="1:7" ht="25.5">
      <c r="A18" s="9" t="s">
        <v>50</v>
      </c>
      <c r="B18" s="13">
        <f>SUM('Données ARR'!G18:G29)</f>
        <v>837428.3</v>
      </c>
      <c r="C18" s="24">
        <f>B18/$B$23</f>
        <v>4.4938913468273358E-3</v>
      </c>
      <c r="D18" s="18">
        <f>(1+C18)^12-1</f>
        <v>5.5279739393624627E-2</v>
      </c>
      <c r="E18" s="23" t="s">
        <v>49</v>
      </c>
    </row>
    <row r="19" spans="1:7" ht="25.5">
      <c r="A19" s="9" t="s">
        <v>51</v>
      </c>
      <c r="B19" s="13">
        <f>SUM('Données ARR'!H18:H29)</f>
        <v>-1330547.6400000001</v>
      </c>
      <c r="C19" s="24">
        <f>-B19/$B$23</f>
        <v>7.1401175789467981E-3</v>
      </c>
      <c r="D19" s="18">
        <f>1-(1-C19)^12</f>
        <v>8.2395457268660488E-2</v>
      </c>
      <c r="E19" s="23" t="s">
        <v>49</v>
      </c>
    </row>
    <row r="20" spans="1:7" ht="25.5">
      <c r="A20" s="9" t="s">
        <v>52</v>
      </c>
      <c r="B20" s="13">
        <f>SUM('Données ARR'!I18:I29)</f>
        <v>-1659079.7699999998</v>
      </c>
      <c r="C20" s="24">
        <f>-B20/$B$23</f>
        <v>8.9031194934530936E-3</v>
      </c>
      <c r="D20" s="18">
        <f>1-(1-C20)^12</f>
        <v>0.10175809856728379</v>
      </c>
      <c r="E20" s="23" t="s">
        <v>49</v>
      </c>
    </row>
    <row r="21" spans="1:7" ht="25.5">
      <c r="A21" s="25" t="s">
        <v>53</v>
      </c>
      <c r="C21" s="26">
        <f>C19+C20</f>
        <v>1.6043237072399893E-2</v>
      </c>
      <c r="D21" s="27">
        <f>1-(1-C21)^12</f>
        <v>0.17640788369666427</v>
      </c>
      <c r="E21" s="23" t="s">
        <v>54</v>
      </c>
    </row>
    <row r="22" spans="1:7">
      <c r="A22" s="9" t="s">
        <v>55</v>
      </c>
      <c r="B22" s="13">
        <f>SUM('Données ARR'!J18:J29)</f>
        <v>-270704.63</v>
      </c>
    </row>
    <row r="23" spans="1:7" ht="25.5">
      <c r="A23" s="9" t="s">
        <v>56</v>
      </c>
      <c r="B23" s="13">
        <f>SUM('Données ARR'!B28:B39)</f>
        <v>186348141.37</v>
      </c>
      <c r="C23" s="12">
        <f>B23/12</f>
        <v>15529011.780833334</v>
      </c>
      <c r="E23" s="23" t="s">
        <v>57</v>
      </c>
    </row>
    <row r="24" spans="1:7">
      <c r="A24" s="9" t="s">
        <v>58</v>
      </c>
      <c r="B24" s="12">
        <f>B16+B17+B18+B19+B20+B22</f>
        <v>9319744.9700000007</v>
      </c>
      <c r="C24" s="12">
        <f>B8-B9</f>
        <v>9319744.9299999997</v>
      </c>
      <c r="D24" s="28" t="str">
        <f>IF(ABS(B24-C24)&lt;1,"OK","KO")</f>
        <v>OK</v>
      </c>
    </row>
    <row r="25" spans="1:7">
      <c r="A25" s="9" t="s">
        <v>59</v>
      </c>
      <c r="C25" s="18">
        <f>(1+C17-C21)^12</f>
        <v>1.020922000253029</v>
      </c>
      <c r="D25" s="18">
        <f>(1+C17+C18-C21)^12</f>
        <v>1.0772585917211757</v>
      </c>
    </row>
    <row r="26" spans="1:7" ht="25.5">
      <c r="A26" s="9" t="s">
        <v>60</v>
      </c>
      <c r="B26" s="18">
        <f>B16/SUM('Données ARR'!E6:E17)-1</f>
        <v>0.16012939436480034</v>
      </c>
      <c r="C26" s="18">
        <f>SUM('Données ARR'!E24:E29)/SUM('Données ARR'!E12:E17)-1</f>
        <v>2.796957464589922E-2</v>
      </c>
      <c r="D26" s="18">
        <f>SUM('Données ARR'!E18:E23)/SUM('Données ARR'!E6:E11)-1</f>
        <v>0.30813789412092807</v>
      </c>
      <c r="G26" s="17" t="s">
        <v>61</v>
      </c>
    </row>
    <row r="28" spans="1:7" ht="21.75" customHeight="1">
      <c r="A28" s="14" t="s">
        <v>62</v>
      </c>
      <c r="B28" s="15"/>
      <c r="C28" s="15"/>
      <c r="D28" s="15"/>
      <c r="E28" s="15"/>
    </row>
    <row r="29" spans="1:7" ht="21.75" customHeight="1">
      <c r="A29" s="21" t="s">
        <v>63</v>
      </c>
      <c r="B29" s="21" t="s">
        <v>64</v>
      </c>
      <c r="C29" s="21" t="s">
        <v>65</v>
      </c>
      <c r="D29" s="21" t="s">
        <v>37</v>
      </c>
      <c r="E29" s="21" t="s">
        <v>66</v>
      </c>
    </row>
    <row r="30" spans="1:7">
      <c r="A30" s="9" t="s">
        <v>67</v>
      </c>
      <c r="B30" s="22" t="s">
        <v>68</v>
      </c>
      <c r="C30" s="10">
        <v>0</v>
      </c>
      <c r="D30" s="10">
        <v>0.1</v>
      </c>
      <c r="E30" s="10">
        <v>0.2</v>
      </c>
      <c r="G30" s="29" t="s">
        <v>69</v>
      </c>
    </row>
    <row r="31" spans="1:7">
      <c r="A31" s="9" t="s">
        <v>70</v>
      </c>
      <c r="B31" s="22" t="s">
        <v>71</v>
      </c>
      <c r="C31" s="10">
        <v>1</v>
      </c>
      <c r="D31" s="10">
        <v>1</v>
      </c>
      <c r="E31" s="10">
        <v>1</v>
      </c>
    </row>
    <row r="32" spans="1:7">
      <c r="A32" s="9" t="s">
        <v>72</v>
      </c>
      <c r="B32" s="22" t="s">
        <v>73</v>
      </c>
      <c r="C32" s="30">
        <v>0.02</v>
      </c>
      <c r="D32" s="30">
        <v>0</v>
      </c>
      <c r="E32" s="30">
        <v>-0.02</v>
      </c>
      <c r="G32" s="29" t="s">
        <v>74</v>
      </c>
    </row>
    <row r="33" spans="1:7">
      <c r="A33" s="9" t="s">
        <v>75</v>
      </c>
      <c r="B33" s="22" t="s">
        <v>73</v>
      </c>
      <c r="C33" s="30">
        <v>-0.02</v>
      </c>
      <c r="D33" s="30">
        <v>0</v>
      </c>
      <c r="E33" s="30">
        <v>0.02</v>
      </c>
      <c r="G33" s="29" t="s">
        <v>76</v>
      </c>
    </row>
    <row r="34" spans="1:7">
      <c r="A34" s="9" t="s">
        <v>77</v>
      </c>
      <c r="B34" s="22" t="s">
        <v>78</v>
      </c>
      <c r="C34" s="31">
        <v>1</v>
      </c>
      <c r="D34" s="31">
        <v>1</v>
      </c>
      <c r="E34" s="31">
        <v>1</v>
      </c>
    </row>
    <row r="36" spans="1:7" ht="21.75" customHeight="1">
      <c r="A36" s="14" t="s">
        <v>79</v>
      </c>
      <c r="B36" s="15"/>
      <c r="C36" s="15"/>
      <c r="D36" s="15"/>
      <c r="E36" s="15"/>
    </row>
    <row r="37" spans="1:7" ht="21.75" customHeight="1">
      <c r="A37" s="21" t="s">
        <v>80</v>
      </c>
      <c r="B37" s="21" t="s">
        <v>64</v>
      </c>
      <c r="C37" s="21" t="s">
        <v>65</v>
      </c>
      <c r="D37" s="21" t="s">
        <v>37</v>
      </c>
      <c r="E37" s="21" t="s">
        <v>66</v>
      </c>
    </row>
    <row r="38" spans="1:7">
      <c r="A38" s="9" t="s">
        <v>81</v>
      </c>
      <c r="B38" s="22" t="s">
        <v>82</v>
      </c>
      <c r="C38" s="12">
        <f>$C$16*C31</f>
        <v>702599.81833333336</v>
      </c>
      <c r="D38" s="12">
        <f>$C$16*D31</f>
        <v>702599.81833333336</v>
      </c>
      <c r="E38" s="12">
        <f>$C$16*E31</f>
        <v>702599.81833333336</v>
      </c>
    </row>
    <row r="39" spans="1:7">
      <c r="A39" s="9" t="s">
        <v>83</v>
      </c>
      <c r="B39" s="22" t="s">
        <v>84</v>
      </c>
      <c r="C39" s="24">
        <f>(1+C30)^(1/12)-1</f>
        <v>0</v>
      </c>
      <c r="D39" s="24">
        <f>(1+D30)^(1/12)-1</f>
        <v>7.9741404289037643E-3</v>
      </c>
      <c r="E39" s="24">
        <f>(1+E30)^(1/12)-1</f>
        <v>1.5309470499731193E-2</v>
      </c>
    </row>
    <row r="40" spans="1:7">
      <c r="A40" s="9" t="s">
        <v>85</v>
      </c>
      <c r="B40" s="22" t="s">
        <v>86</v>
      </c>
      <c r="C40" s="18">
        <f>$D$21+C32</f>
        <v>0.19640788369666426</v>
      </c>
      <c r="D40" s="18">
        <f>$D$21+D32</f>
        <v>0.17640788369666427</v>
      </c>
      <c r="E40" s="18">
        <f>$D$21+E32</f>
        <v>0.15640788369666428</v>
      </c>
    </row>
    <row r="41" spans="1:7">
      <c r="A41" s="9" t="s">
        <v>87</v>
      </c>
      <c r="B41" s="22" t="s">
        <v>84</v>
      </c>
      <c r="C41" s="24">
        <f>1-(1-C40)^(1/12)</f>
        <v>1.805693872159464E-2</v>
      </c>
      <c r="D41" s="24">
        <f>1-(1-D40)^(1/12)</f>
        <v>1.6043237072399852E-2</v>
      </c>
      <c r="E41" s="24">
        <f>1-(1-E40)^(1/12)</f>
        <v>1.4073871899647594E-2</v>
      </c>
    </row>
    <row r="42" spans="1:7">
      <c r="A42" s="9" t="s">
        <v>88</v>
      </c>
      <c r="B42" s="22" t="s">
        <v>84</v>
      </c>
      <c r="C42" s="24">
        <f>C41*$C$19/$C$21</f>
        <v>8.0363249016513275E-3</v>
      </c>
      <c r="D42" s="24">
        <f>D41*$C$19/$C$21</f>
        <v>7.1401175789467791E-3</v>
      </c>
      <c r="E42" s="24">
        <f>E41*$C$19/$C$21</f>
        <v>6.2636424121286817E-3</v>
      </c>
    </row>
    <row r="43" spans="1:7">
      <c r="A43" s="9" t="s">
        <v>89</v>
      </c>
      <c r="B43" s="22" t="s">
        <v>84</v>
      </c>
      <c r="C43" s="24">
        <f>C41*$C$20/$C$21</f>
        <v>1.0020613819943309E-2</v>
      </c>
      <c r="D43" s="24">
        <f>D41*$C$20/$C$21</f>
        <v>8.9031194934530711E-3</v>
      </c>
      <c r="E43" s="24">
        <f>E41*$C$20/$C$21</f>
        <v>7.8102294875189108E-3</v>
      </c>
    </row>
    <row r="44" spans="1:7">
      <c r="A44" s="9" t="s">
        <v>90</v>
      </c>
      <c r="B44" s="22" t="s">
        <v>86</v>
      </c>
      <c r="C44" s="18">
        <f>$D$17+C33</f>
        <v>0.21536975640032588</v>
      </c>
      <c r="D44" s="18">
        <f>$D$17+D33</f>
        <v>0.23536975640032587</v>
      </c>
      <c r="E44" s="18">
        <f>$D$17+E33</f>
        <v>0.25536975640032589</v>
      </c>
    </row>
    <row r="45" spans="1:7">
      <c r="A45" s="9" t="s">
        <v>91</v>
      </c>
      <c r="B45" s="22" t="s">
        <v>84</v>
      </c>
      <c r="C45" s="24">
        <f>(1+C44)^(1/12)-1</f>
        <v>1.6386845089582991E-2</v>
      </c>
      <c r="D45" s="24">
        <f>(1+D44)^(1/12)-1</f>
        <v>1.7770238359528401E-2</v>
      </c>
      <c r="E45" s="24">
        <f>(1+E44)^(1/12)-1</f>
        <v>1.9133251870901757E-2</v>
      </c>
    </row>
    <row r="46" spans="1:7">
      <c r="A46" s="9" t="s">
        <v>92</v>
      </c>
      <c r="B46" s="22" t="s">
        <v>84</v>
      </c>
      <c r="C46" s="24">
        <f>$C$18*C34</f>
        <v>4.4938913468273358E-3</v>
      </c>
      <c r="D46" s="24">
        <f>$C$18*D34</f>
        <v>4.4938913468273358E-3</v>
      </c>
      <c r="E46" s="24">
        <f>$C$18*E34</f>
        <v>4.4938913468273358E-3</v>
      </c>
    </row>
    <row r="47" spans="1:7">
      <c r="A47" s="9" t="s">
        <v>93</v>
      </c>
      <c r="B47" s="22" t="s">
        <v>94</v>
      </c>
      <c r="C47" s="32">
        <f>1+C45+C46-C42-C43</f>
        <v>1.0028237977148158</v>
      </c>
      <c r="D47" s="32">
        <f>1+D45+D46-D42-D43</f>
        <v>1.006220892633956</v>
      </c>
      <c r="E47" s="32">
        <f>1+E45+E46-E42-E43</f>
        <v>1.0095532713180815</v>
      </c>
    </row>
    <row r="48" spans="1:7">
      <c r="A48" s="9" t="s">
        <v>95</v>
      </c>
      <c r="B48" s="22" t="s">
        <v>86</v>
      </c>
      <c r="C48" s="18">
        <f>(1+C45-C42-C43)^12</f>
        <v>0.98014194348314876</v>
      </c>
      <c r="D48" s="18">
        <f>(1+D45-D42-D43)^12</f>
        <v>1.0209220002530317</v>
      </c>
      <c r="E48" s="18">
        <f>(1+E45-E42-E43)^12</f>
        <v>1.0624308015786359</v>
      </c>
    </row>
    <row r="49" spans="1:5">
      <c r="A49" s="9" t="s">
        <v>96</v>
      </c>
      <c r="B49" s="22" t="s">
        <v>86</v>
      </c>
      <c r="C49" s="18">
        <f>1-C40</f>
        <v>0.80359211630333571</v>
      </c>
      <c r="D49" s="18">
        <f>1-D40</f>
        <v>0.82359211630333573</v>
      </c>
      <c r="E49" s="18">
        <f>1-E40</f>
        <v>0.84359211630333575</v>
      </c>
    </row>
    <row r="51" spans="1:5" ht="21.75" customHeight="1">
      <c r="A51" s="14" t="s">
        <v>97</v>
      </c>
      <c r="B51" s="15"/>
      <c r="C51" s="15"/>
      <c r="D51" s="15"/>
      <c r="E51" s="15"/>
    </row>
    <row r="52" spans="1:5">
      <c r="A52" s="9" t="s">
        <v>98</v>
      </c>
      <c r="B52" s="30">
        <v>0.01</v>
      </c>
    </row>
    <row r="53" spans="1:5">
      <c r="A53" s="9" t="s">
        <v>99</v>
      </c>
      <c r="B53" s="30">
        <v>0.05</v>
      </c>
    </row>
    <row r="54" spans="1:5">
      <c r="A54" s="9" t="s">
        <v>100</v>
      </c>
      <c r="B54" s="30">
        <v>0.01</v>
      </c>
    </row>
    <row r="55" spans="1:5">
      <c r="A55" s="9" t="s">
        <v>101</v>
      </c>
      <c r="B55" s="10">
        <v>0.1</v>
      </c>
    </row>
  </sheetData>
  <conditionalFormatting sqref="D24">
    <cfRule type="cellIs" dxfId="9" priority="2" operator="equal">
      <formula>"OK"</formula>
    </cfRule>
    <cfRule type="cellIs" dxfId="8" priority="3" operator="equal">
      <formula>"KO"</formula>
    </cfRule>
  </conditionalFormatting>
  <dataValidations count="1">
    <dataValidation type="list" sqref="B11" xr:uid="{00000000-0002-0000-0100-000000000000}">
      <formula1>"Prudent,Central,Ambition"</formula1>
      <formula2>0</formula2>
    </dataValidation>
  </dataValidations>
  <pageMargins left="0.75" right="0.75" top="1" bottom="1" header="0.511811023622047" footer="0.511811023622047"/>
  <pageSetup paperSize="9" orientation="portrait" horizontalDpi="300" verticalDpi="300"/>
  <ignoredErrors>
    <ignoredError sqref="B16:B26"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20512"/>
  </sheetPr>
  <dimension ref="A1:H47"/>
  <sheetViews>
    <sheetView showGridLines="0" zoomScaleNormal="100" workbookViewId="0">
      <pane ySplit="4" topLeftCell="A5" activePane="bottomLeft" state="frozen"/>
      <selection pane="bottomLeft"/>
    </sheetView>
  </sheetViews>
  <sheetFormatPr baseColWidth="10" defaultColWidth="8.6640625" defaultRowHeight="14.25"/>
  <cols>
    <col min="1" max="1" width="34" customWidth="1"/>
    <col min="2" max="8" width="17" customWidth="1"/>
    <col min="10" max="10" width="3" customWidth="1"/>
  </cols>
  <sheetData>
    <row r="1" spans="1:8">
      <c r="A1" s="5" t="s">
        <v>102</v>
      </c>
    </row>
    <row r="2" spans="1:8" ht="25.5" customHeight="1">
      <c r="A2" s="6" t="s">
        <v>103</v>
      </c>
    </row>
    <row r="3" spans="1:8">
      <c r="A3" s="7" t="s">
        <v>104</v>
      </c>
    </row>
    <row r="5" spans="1:8" ht="21.75" customHeight="1">
      <c r="A5" s="14" t="s">
        <v>105</v>
      </c>
      <c r="B5" s="15"/>
      <c r="C5" s="15"/>
      <c r="D5" s="15"/>
      <c r="E5" s="15"/>
      <c r="F5" s="15"/>
      <c r="G5" s="15"/>
      <c r="H5" s="15"/>
    </row>
    <row r="6" spans="1:8" ht="30" customHeight="1">
      <c r="A6" s="33" t="s">
        <v>106</v>
      </c>
      <c r="B6" s="33" t="s">
        <v>107</v>
      </c>
      <c r="C6" s="33" t="s">
        <v>108</v>
      </c>
      <c r="D6" s="33" t="s">
        <v>109</v>
      </c>
      <c r="E6" s="33" t="s">
        <v>110</v>
      </c>
      <c r="F6" s="33" t="s">
        <v>111</v>
      </c>
      <c r="G6" s="33" t="s">
        <v>112</v>
      </c>
      <c r="H6" s="33" t="s">
        <v>113</v>
      </c>
    </row>
    <row r="7" spans="1:8">
      <c r="A7" s="25" t="s">
        <v>65</v>
      </c>
      <c r="B7" s="13">
        <f>Projection!$I$7</f>
        <v>21405603.59</v>
      </c>
      <c r="C7" s="13">
        <f>Projection!$I$19</f>
        <v>30705698.829456031</v>
      </c>
      <c r="D7" s="13">
        <f>Projection!$I$31</f>
        <v>40325873.873520188</v>
      </c>
      <c r="E7" s="34">
        <f>Projection!$I$43</f>
        <v>50277144.854681447</v>
      </c>
      <c r="F7" s="18">
        <f>(E7/B7)^(1/3)-1</f>
        <v>0.32927358962961151</v>
      </c>
      <c r="G7" s="35">
        <f>E7/B7</f>
        <v>2.3487842631155371</v>
      </c>
      <c r="H7" s="18">
        <f>E7/$E$8-1</f>
        <v>-0.15388268305927366</v>
      </c>
    </row>
    <row r="8" spans="1:8">
      <c r="A8" s="25" t="s">
        <v>37</v>
      </c>
      <c r="B8" s="13">
        <f>Projection!$Q$7</f>
        <v>21405603.59</v>
      </c>
      <c r="C8" s="13">
        <f>Projection!$Q$19</f>
        <v>32245476.905461632</v>
      </c>
      <c r="D8" s="13">
        <f>Projection!$Q$31</f>
        <v>44841434.220427461</v>
      </c>
      <c r="E8" s="34">
        <f>Projection!$Q$43</f>
        <v>59421009.176914826</v>
      </c>
      <c r="F8" s="18">
        <f>(E8/B8)^(1/3)-1</f>
        <v>0.40541369644077685</v>
      </c>
      <c r="G8" s="35">
        <f>E8/B8</f>
        <v>2.7759557877954157</v>
      </c>
      <c r="H8" s="18">
        <f>E8/$E$8-1</f>
        <v>0</v>
      </c>
    </row>
    <row r="9" spans="1:8">
      <c r="A9" s="25" t="s">
        <v>66</v>
      </c>
      <c r="B9" s="13">
        <f>Projection!$Y$7</f>
        <v>21405603.59</v>
      </c>
      <c r="C9" s="13">
        <f>Projection!$Y$19</f>
        <v>33800502.834242672</v>
      </c>
      <c r="D9" s="13">
        <f>Projection!$Y$31</f>
        <v>49655003.021374576</v>
      </c>
      <c r="E9" s="34">
        <f>Projection!$Y$43</f>
        <v>69779540.975221589</v>
      </c>
      <c r="F9" s="18">
        <f>(E9/B9)^(1/3)-1</f>
        <v>0.48274639425527233</v>
      </c>
      <c r="G9" s="35">
        <f>E9/B9</f>
        <v>3.2598726161508624</v>
      </c>
      <c r="H9" s="18">
        <f>E9/$E$8-1</f>
        <v>0.17432440044002262</v>
      </c>
    </row>
    <row r="11" spans="1:8" ht="21.75" customHeight="1">
      <c r="A11" s="14" t="s">
        <v>114</v>
      </c>
      <c r="B11" s="15"/>
      <c r="C11" s="15"/>
      <c r="D11" s="15"/>
      <c r="E11" s="15"/>
      <c r="F11" s="15"/>
      <c r="G11" s="15"/>
      <c r="H11" s="15"/>
    </row>
    <row r="12" spans="1:8" ht="30" customHeight="1">
      <c r="A12" s="33" t="s">
        <v>106</v>
      </c>
      <c r="B12" s="33" t="s">
        <v>115</v>
      </c>
      <c r="C12" s="33" t="s">
        <v>116</v>
      </c>
      <c r="D12" s="33" t="s">
        <v>117</v>
      </c>
      <c r="E12" s="33" t="s">
        <v>118</v>
      </c>
      <c r="F12" s="33" t="s">
        <v>119</v>
      </c>
      <c r="G12" s="33" t="s">
        <v>120</v>
      </c>
      <c r="H12" s="33" t="s">
        <v>121</v>
      </c>
    </row>
    <row r="13" spans="1:8">
      <c r="A13" s="25" t="s">
        <v>65</v>
      </c>
      <c r="B13" s="18">
        <f t="shared" ref="B13:D15" si="0">C7/B7-1</f>
        <v>0.4344701236923183</v>
      </c>
      <c r="C13" s="18">
        <f t="shared" si="0"/>
        <v>0.31330259237856861</v>
      </c>
      <c r="D13" s="18">
        <f t="shared" si="0"/>
        <v>0.24677136600617389</v>
      </c>
      <c r="E13" s="36">
        <f>Hypothèses!C48</f>
        <v>0.98014194348314876</v>
      </c>
      <c r="F13" s="36">
        <f>Hypothèses!C49</f>
        <v>0.80359211630333571</v>
      </c>
      <c r="G13" s="36">
        <f>Hypothèses!C40</f>
        <v>0.19640788369666426</v>
      </c>
      <c r="H13" s="36">
        <f>Hypothèses!C44</f>
        <v>0.21536975640032588</v>
      </c>
    </row>
    <row r="14" spans="1:8">
      <c r="A14" s="25" t="s">
        <v>37</v>
      </c>
      <c r="B14" s="18">
        <f t="shared" si="0"/>
        <v>0.5064035344710236</v>
      </c>
      <c r="C14" s="18">
        <f t="shared" si="0"/>
        <v>0.39062710568353753</v>
      </c>
      <c r="D14" s="18">
        <f t="shared" si="0"/>
        <v>0.32513623192376961</v>
      </c>
      <c r="E14" s="36">
        <f>Hypothèses!D48</f>
        <v>1.0209220002530317</v>
      </c>
      <c r="F14" s="36">
        <f>Hypothèses!D49</f>
        <v>0.82359211630333573</v>
      </c>
      <c r="G14" s="36">
        <f>Hypothèses!D40</f>
        <v>0.17640788369666427</v>
      </c>
      <c r="H14" s="36">
        <f>Hypothèses!D44</f>
        <v>0.23536975640032587</v>
      </c>
    </row>
    <row r="15" spans="1:8">
      <c r="A15" s="25" t="s">
        <v>66</v>
      </c>
      <c r="B15" s="18">
        <f t="shared" si="0"/>
        <v>0.57904927521096217</v>
      </c>
      <c r="C15" s="18">
        <f t="shared" si="0"/>
        <v>0.46906107476809478</v>
      </c>
      <c r="D15" s="18">
        <f t="shared" si="0"/>
        <v>0.40528721637946874</v>
      </c>
      <c r="E15" s="36">
        <f>Hypothèses!E48</f>
        <v>1.0624308015786359</v>
      </c>
      <c r="F15" s="36">
        <f>Hypothèses!E49</f>
        <v>0.84359211630333575</v>
      </c>
      <c r="G15" s="36">
        <f>Hypothèses!E40</f>
        <v>0.15640788369666428</v>
      </c>
      <c r="H15" s="36">
        <f>Hypothèses!E44</f>
        <v>0.25536975640032589</v>
      </c>
    </row>
    <row r="17" spans="1:8" ht="21.75" customHeight="1">
      <c r="A17" s="14" t="s">
        <v>122</v>
      </c>
      <c r="B17" s="15"/>
      <c r="C17" s="15"/>
      <c r="D17" s="15"/>
      <c r="E17" s="15"/>
      <c r="F17" s="15"/>
      <c r="G17" s="15"/>
      <c r="H17" s="15"/>
    </row>
    <row r="18" spans="1:8" ht="30" customHeight="1">
      <c r="A18" s="33" t="s">
        <v>123</v>
      </c>
      <c r="B18" s="33" t="s">
        <v>124</v>
      </c>
      <c r="C18" s="33" t="s">
        <v>116</v>
      </c>
      <c r="D18" s="33" t="s">
        <v>117</v>
      </c>
      <c r="E18" s="33" t="s">
        <v>125</v>
      </c>
      <c r="F18" s="37" t="s">
        <v>126</v>
      </c>
      <c r="G18" s="33"/>
      <c r="H18" s="33"/>
    </row>
    <row r="19" spans="1:8">
      <c r="A19" s="25" t="s">
        <v>127</v>
      </c>
      <c r="B19" s="13">
        <f>Projection!$I$7</f>
        <v>21405603.59</v>
      </c>
      <c r="C19" s="13">
        <f>Projection!$I$19</f>
        <v>30705698.829456031</v>
      </c>
      <c r="D19" s="13">
        <f>Projection!$I$31</f>
        <v>40325873.873520188</v>
      </c>
      <c r="E19" s="13">
        <f>Projection!$I$7</f>
        <v>21405603.59</v>
      </c>
    </row>
    <row r="20" spans="1:8">
      <c r="A20" s="9" t="s">
        <v>128</v>
      </c>
      <c r="B20" s="12">
        <f>SUM(Projection!$D$8:$D$19)</f>
        <v>8431197.8200000003</v>
      </c>
      <c r="C20" s="12">
        <f>SUM(Projection!$D$20:$D$31)</f>
        <v>8431197.8200000003</v>
      </c>
      <c r="D20" s="12">
        <f>SUM(Projection!$D$32:$D$43)</f>
        <v>8431197.8200000003</v>
      </c>
      <c r="E20" s="12">
        <f>SUM(B20:D20)</f>
        <v>25293593.460000001</v>
      </c>
    </row>
    <row r="21" spans="1:8">
      <c r="A21" s="9" t="s">
        <v>129</v>
      </c>
      <c r="B21" s="12">
        <f>SUM(Projection!$E$8:$E$19)</f>
        <v>5042318.4836006807</v>
      </c>
      <c r="C21" s="12">
        <f>SUM(Projection!$E$20:$E$31)</f>
        <v>6899780.9168682983</v>
      </c>
      <c r="D21" s="12">
        <f>SUM(Projection!$E$32:$E$43)</f>
        <v>8821171.3204845302</v>
      </c>
      <c r="E21" s="12">
        <f>SUM(B21:D21)</f>
        <v>20763270.720953509</v>
      </c>
    </row>
    <row r="22" spans="1:8">
      <c r="A22" s="9" t="s">
        <v>130</v>
      </c>
      <c r="B22" s="12">
        <f>SUM(Projection!$F$8:$F$19)</f>
        <v>1382794.0202965131</v>
      </c>
      <c r="C22" s="12">
        <f>SUM(Projection!$F$20:$F$31)</f>
        <v>1892180.3182865072</v>
      </c>
      <c r="D22" s="12">
        <f>SUM(Projection!$F$32:$F$43)</f>
        <v>2419098.0783242201</v>
      </c>
      <c r="E22" s="12">
        <f>SUM(B22:D22)</f>
        <v>5694072.4169072406</v>
      </c>
    </row>
    <row r="23" spans="1:8">
      <c r="A23" s="9" t="s">
        <v>131</v>
      </c>
      <c r="B23" s="12">
        <f>SUM(Projection!$G$8:$G$19)</f>
        <v>-2472819.4701478141</v>
      </c>
      <c r="C23" s="12">
        <f>SUM(Projection!$G$20:$G$31)</f>
        <v>-3383743.5391035597</v>
      </c>
      <c r="D23" s="12">
        <f>SUM(Projection!$G$32:$G$43)</f>
        <v>-4326018.7276443178</v>
      </c>
      <c r="E23" s="12">
        <f>SUM(B23:D23)</f>
        <v>-10182581.736895692</v>
      </c>
    </row>
    <row r="24" spans="1:8">
      <c r="A24" s="9" t="s">
        <v>132</v>
      </c>
      <c r="B24" s="12">
        <f>SUM(Projection!$H$8:$H$19)</f>
        <v>-3083395.614293342</v>
      </c>
      <c r="C24" s="12">
        <f>SUM(Projection!$H$20:$H$31)</f>
        <v>-4219240.4719870975</v>
      </c>
      <c r="D24" s="12">
        <f>SUM(Projection!$H$32:$H$43)</f>
        <v>-5394177.5100031942</v>
      </c>
      <c r="E24" s="12">
        <f>SUM(B24:D24)</f>
        <v>-12696813.596283633</v>
      </c>
    </row>
    <row r="25" spans="1:8">
      <c r="A25" s="38" t="s">
        <v>133</v>
      </c>
      <c r="B25" s="39">
        <f>Projection!$I$19</f>
        <v>30705698.829456031</v>
      </c>
      <c r="C25" s="39">
        <f>Projection!$I$31</f>
        <v>40325873.873520188</v>
      </c>
      <c r="D25" s="39">
        <f>Projection!$I$43</f>
        <v>50277144.854681447</v>
      </c>
      <c r="E25" s="39">
        <f>Projection!$I$43</f>
        <v>50277144.854681447</v>
      </c>
      <c r="F25" s="40" t="str">
        <f>IF(ABS(B25-SUM(B19:B24))&lt;1,"OK","KO")</f>
        <v>OK</v>
      </c>
      <c r="G25" s="41"/>
      <c r="H25" s="41"/>
    </row>
    <row r="27" spans="1:8">
      <c r="A27" s="25" t="s">
        <v>134</v>
      </c>
      <c r="B27" s="13">
        <f>Projection!$Q$7</f>
        <v>21405603.59</v>
      </c>
      <c r="C27" s="13">
        <f>Projection!$Q$19</f>
        <v>32245476.905461632</v>
      </c>
      <c r="D27" s="13">
        <f>Projection!$Q$31</f>
        <v>44841434.220427461</v>
      </c>
      <c r="E27" s="13">
        <f>Projection!$Q$7</f>
        <v>21405603.59</v>
      </c>
    </row>
    <row r="28" spans="1:8">
      <c r="A28" s="9" t="s">
        <v>128</v>
      </c>
      <c r="B28" s="12">
        <f>SUM(Projection!$L$8:$L$19)</f>
        <v>8881238.7274123672</v>
      </c>
      <c r="C28" s="12">
        <f>SUM(Projection!$L$20:$L$31)</f>
        <v>9769362.6001536064</v>
      </c>
      <c r="D28" s="12">
        <f>SUM(Projection!$L$32:$L$43)</f>
        <v>10746298.860168971</v>
      </c>
      <c r="E28" s="12">
        <f>SUM(B28:D28)</f>
        <v>29396900.187734947</v>
      </c>
    </row>
    <row r="29" spans="1:8">
      <c r="A29" s="9" t="s">
        <v>129</v>
      </c>
      <c r="B29" s="12">
        <f>SUM(Projection!$M$8:$M$19)</f>
        <v>5594921.104870324</v>
      </c>
      <c r="C29" s="12">
        <f>SUM(Projection!$M$20:$M$31)</f>
        <v>8074285.2808336122</v>
      </c>
      <c r="D29" s="12">
        <f>SUM(Projection!$M$32:$M$43)</f>
        <v>10949912.486456752</v>
      </c>
      <c r="E29" s="12">
        <f>SUM(B29:D29)</f>
        <v>24619118.872160688</v>
      </c>
    </row>
    <row r="30" spans="1:8">
      <c r="A30" s="9" t="s">
        <v>130</v>
      </c>
      <c r="B30" s="12">
        <f>SUM(Projection!$N$8:$N$19)</f>
        <v>1414891.9688450175</v>
      </c>
      <c r="C30" s="12">
        <f>SUM(Projection!$N$20:$N$31)</f>
        <v>2041894.9943852329</v>
      </c>
      <c r="D30" s="12">
        <f>SUM(Projection!$N$32:$N$43)</f>
        <v>2769108.4371425677</v>
      </c>
      <c r="E30" s="12">
        <f>SUM(B30:D30)</f>
        <v>6225895.4003728181</v>
      </c>
    </row>
    <row r="31" spans="1:8">
      <c r="A31" s="9" t="s">
        <v>131</v>
      </c>
      <c r="B31" s="12">
        <f>SUM(Projection!$O$8:$O$19)</f>
        <v>-2248050.573406328</v>
      </c>
      <c r="C31" s="12">
        <f>SUM(Projection!$O$20:$O$31)</f>
        <v>-3244264.0950957565</v>
      </c>
      <c r="D31" s="12">
        <f>SUM(Projection!$O$32:$O$43)</f>
        <v>-4399696.9005515119</v>
      </c>
      <c r="E31" s="12">
        <f>SUM(B31:D31)</f>
        <v>-9892011.5690535977</v>
      </c>
    </row>
    <row r="32" spans="1:8">
      <c r="A32" s="9" t="s">
        <v>132</v>
      </c>
      <c r="B32" s="12">
        <f>SUM(Projection!$P$8:$P$19)</f>
        <v>-2803127.912259751</v>
      </c>
      <c r="C32" s="12">
        <f>SUM(Projection!$P$20:$P$31)</f>
        <v>-4045321.4653108749</v>
      </c>
      <c r="D32" s="12">
        <f>SUM(Projection!$P$32:$P$43)</f>
        <v>-5486047.9267294155</v>
      </c>
      <c r="E32" s="12">
        <f>SUM(B32:D32)</f>
        <v>-12334497.30430004</v>
      </c>
    </row>
    <row r="33" spans="1:8">
      <c r="A33" s="38" t="s">
        <v>135</v>
      </c>
      <c r="B33" s="39">
        <f>Projection!$Q$19</f>
        <v>32245476.905461632</v>
      </c>
      <c r="C33" s="39">
        <f>Projection!$Q$31</f>
        <v>44841434.220427461</v>
      </c>
      <c r="D33" s="39">
        <f>Projection!$Q$43</f>
        <v>59421009.176914826</v>
      </c>
      <c r="E33" s="39">
        <f>Projection!$Q$43</f>
        <v>59421009.176914826</v>
      </c>
      <c r="F33" s="40" t="str">
        <f>IF(ABS(B33-SUM(B27:B32))&lt;1,"OK","KO")</f>
        <v>OK</v>
      </c>
      <c r="G33" s="41"/>
      <c r="H33" s="41"/>
    </row>
    <row r="35" spans="1:8">
      <c r="A35" s="25" t="s">
        <v>136</v>
      </c>
      <c r="B35" s="13">
        <f>Projection!$Y$7</f>
        <v>21405603.59</v>
      </c>
      <c r="C35" s="13">
        <f>Projection!$Y$19</f>
        <v>33800502.834242672</v>
      </c>
      <c r="D35" s="13">
        <f>Projection!$Y$31</f>
        <v>49655003.021374576</v>
      </c>
      <c r="E35" s="13">
        <f>Projection!$Y$7</f>
        <v>21405603.59</v>
      </c>
    </row>
    <row r="36" spans="1:8">
      <c r="A36" s="9" t="s">
        <v>128</v>
      </c>
      <c r="B36" s="12">
        <f>SUM(Projection!$T$8:$T$19)</f>
        <v>9319149.862665046</v>
      </c>
      <c r="C36" s="12">
        <f>SUM(Projection!$T$20:$T$31)</f>
        <v>11182979.835198054</v>
      </c>
      <c r="D36" s="12">
        <f>SUM(Projection!$T$32:$T$43)</f>
        <v>13419575.802237658</v>
      </c>
      <c r="E36" s="12">
        <f>SUM(B36:D36)</f>
        <v>33921705.500100762</v>
      </c>
    </row>
    <row r="37" spans="1:8">
      <c r="A37" s="9" t="s">
        <v>129</v>
      </c>
      <c r="B37" s="12">
        <f>SUM(Projection!$U$8:$U$19)</f>
        <v>6160098.0072774785</v>
      </c>
      <c r="C37" s="12">
        <f>SUM(Projection!$U$20:$U$31)</f>
        <v>9356101.4376741908</v>
      </c>
      <c r="D37" s="12">
        <f>SUM(Projection!$U$32:$U$43)</f>
        <v>13428670.175921166</v>
      </c>
      <c r="E37" s="12">
        <f>SUM(B37:D37)</f>
        <v>28944869.620872833</v>
      </c>
    </row>
    <row r="38" spans="1:8">
      <c r="A38" s="9" t="s">
        <v>130</v>
      </c>
      <c r="B38" s="12">
        <f>SUM(Projection!$V$8:$V$19)</f>
        <v>1446842.9787731566</v>
      </c>
      <c r="C38" s="12">
        <f>SUM(Projection!$V$20:$V$31)</f>
        <v>2197499.0751439491</v>
      </c>
      <c r="D38" s="12">
        <f>SUM(Projection!$V$32:$V$43)</f>
        <v>3154037.0194335538</v>
      </c>
      <c r="E38" s="12">
        <f>SUM(B38:D38)</f>
        <v>6798379.0733506596</v>
      </c>
    </row>
    <row r="39" spans="1:8">
      <c r="A39" s="9" t="s">
        <v>131</v>
      </c>
      <c r="B39" s="12">
        <f>SUM(Projection!$W$8:$W$19)</f>
        <v>-2016627.9836588008</v>
      </c>
      <c r="C39" s="12">
        <f>SUM(Projection!$W$20:$W$31)</f>
        <v>-3062901.914039989</v>
      </c>
      <c r="D39" s="12">
        <f>SUM(Projection!$W$32:$W$43)</f>
        <v>-4396136.5595310628</v>
      </c>
      <c r="E39" s="12">
        <f>SUM(B39:D39)</f>
        <v>-9475666.4572298527</v>
      </c>
    </row>
    <row r="40" spans="1:8">
      <c r="A40" s="9" t="s">
        <v>132</v>
      </c>
      <c r="B40" s="12">
        <f>SUM(Projection!$X$8:$X$19)</f>
        <v>-2514563.6208142131</v>
      </c>
      <c r="C40" s="12">
        <f>SUM(Projection!$X$20:$X$31)</f>
        <v>-3819178.2468443019</v>
      </c>
      <c r="D40" s="12">
        <f>SUM(Projection!$X$32:$X$43)</f>
        <v>-5481608.4842143543</v>
      </c>
      <c r="E40" s="12">
        <f>SUM(B40:D40)</f>
        <v>-11815350.351872869</v>
      </c>
    </row>
    <row r="41" spans="1:8">
      <c r="A41" s="38" t="s">
        <v>137</v>
      </c>
      <c r="B41" s="39">
        <f>Projection!$Y$19</f>
        <v>33800502.834242672</v>
      </c>
      <c r="C41" s="39">
        <f>Projection!$Y$31</f>
        <v>49655003.021374576</v>
      </c>
      <c r="D41" s="39">
        <f>Projection!$Y$43</f>
        <v>69779540.975221589</v>
      </c>
      <c r="E41" s="39">
        <f>Projection!$Y$43</f>
        <v>69779540.975221589</v>
      </c>
      <c r="F41" s="40" t="str">
        <f>IF(ABS(B41-SUM(B35:B40))&lt;1,"OK","KO")</f>
        <v>OK</v>
      </c>
      <c r="G41" s="41"/>
      <c r="H41" s="41"/>
    </row>
    <row r="43" spans="1:8" ht="21.75" customHeight="1">
      <c r="A43" s="14" t="s">
        <v>138</v>
      </c>
      <c r="B43" s="15"/>
      <c r="C43" s="15"/>
      <c r="D43" s="15"/>
      <c r="E43" s="15"/>
      <c r="F43" s="15"/>
      <c r="G43" s="15"/>
      <c r="H43" s="15"/>
    </row>
    <row r="44" spans="1:8" ht="30" customHeight="1">
      <c r="A44" s="33" t="s">
        <v>106</v>
      </c>
      <c r="B44" s="33" t="s">
        <v>124</v>
      </c>
      <c r="C44" s="33" t="s">
        <v>116</v>
      </c>
      <c r="D44" s="33" t="s">
        <v>117</v>
      </c>
      <c r="E44" s="33" t="s">
        <v>139</v>
      </c>
    </row>
    <row r="45" spans="1:8">
      <c r="A45" s="25" t="s">
        <v>65</v>
      </c>
      <c r="B45" s="12">
        <f>Projection!$I$19-Projection!$I$7</f>
        <v>9300095.2394560315</v>
      </c>
      <c r="C45" s="12">
        <f>Projection!$I$31-Projection!$I$19</f>
        <v>9620175.0440641567</v>
      </c>
      <c r="D45" s="12">
        <f>Projection!$I$43-Projection!$I$31</f>
        <v>9951270.9811612591</v>
      </c>
      <c r="E45" s="12">
        <f>SUM(B45:D45)</f>
        <v>28871541.264681447</v>
      </c>
    </row>
    <row r="46" spans="1:8">
      <c r="A46" s="25" t="s">
        <v>37</v>
      </c>
      <c r="B46" s="12">
        <f>Projection!$Q$19-Projection!$Q$7</f>
        <v>10839873.315461632</v>
      </c>
      <c r="C46" s="12">
        <f>Projection!$Q$31-Projection!$Q$19</f>
        <v>12595957.314965829</v>
      </c>
      <c r="D46" s="12">
        <f>Projection!$Q$43-Projection!$Q$31</f>
        <v>14579574.956487365</v>
      </c>
      <c r="E46" s="12">
        <f>SUM(B46:D46)</f>
        <v>38015405.586914822</v>
      </c>
    </row>
    <row r="47" spans="1:8">
      <c r="A47" s="25" t="s">
        <v>66</v>
      </c>
      <c r="B47" s="12">
        <f>Projection!$Y$19-Projection!$Y$7</f>
        <v>12394899.244242672</v>
      </c>
      <c r="C47" s="12">
        <f>Projection!$Y$31-Projection!$Y$19</f>
        <v>15854500.187131904</v>
      </c>
      <c r="D47" s="12">
        <f>Projection!$Y$43-Projection!$Y$31</f>
        <v>20124537.953847013</v>
      </c>
      <c r="E47" s="12">
        <f>SUM(B47:D47)</f>
        <v>48373937.385221586</v>
      </c>
    </row>
  </sheetData>
  <conditionalFormatting sqref="F19:F45">
    <cfRule type="cellIs" dxfId="7" priority="2" operator="equal">
      <formula>"OK"</formula>
    </cfRule>
    <cfRule type="cellIs" dxfId="6" priority="3" operator="equal">
      <formula>"KO"</formula>
    </cfRule>
  </conditionalFormatting>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20512"/>
  </sheetPr>
  <dimension ref="A1:J48"/>
  <sheetViews>
    <sheetView showGridLines="0" zoomScaleNormal="100" workbookViewId="0">
      <pane ySplit="4" topLeftCell="A5" activePane="bottomLeft" state="frozen"/>
      <selection pane="bottomLeft" activeCell="C22" sqref="C22"/>
    </sheetView>
  </sheetViews>
  <sheetFormatPr baseColWidth="10" defaultColWidth="8.6640625" defaultRowHeight="14.25"/>
  <cols>
    <col min="1" max="1" width="50" customWidth="1"/>
    <col min="2" max="9" width="16" customWidth="1"/>
  </cols>
  <sheetData>
    <row r="1" spans="1:10">
      <c r="A1" s="5" t="s">
        <v>140</v>
      </c>
    </row>
    <row r="2" spans="1:10" ht="25.5" customHeight="1">
      <c r="A2" s="6" t="s">
        <v>141</v>
      </c>
    </row>
    <row r="3" spans="1:10">
      <c r="A3" s="7" t="s">
        <v>142</v>
      </c>
    </row>
    <row r="5" spans="1:10">
      <c r="A5" s="25" t="s">
        <v>143</v>
      </c>
      <c r="B5" s="42" t="str">
        <f>Hypothèses!$B$11</f>
        <v>Central</v>
      </c>
    </row>
    <row r="6" spans="1:10">
      <c r="A6" s="9" t="s">
        <v>144</v>
      </c>
      <c r="B6" s="13">
        <f>Hypothèses!$B$6</f>
        <v>21405603.59</v>
      </c>
    </row>
    <row r="7" spans="1:10">
      <c r="A7" s="9" t="s">
        <v>145</v>
      </c>
      <c r="B7" s="13">
        <f>INDEX(Hypothèses!$C$38:$E$38,Hypothèses!$B$12)</f>
        <v>702599.81833333336</v>
      </c>
    </row>
    <row r="8" spans="1:10">
      <c r="A8" s="9" t="s">
        <v>67</v>
      </c>
      <c r="B8" s="36">
        <f>INDEX(Hypothèses!$C$30:$E$30,Hypothèses!$B$12)</f>
        <v>0.1</v>
      </c>
    </row>
    <row r="9" spans="1:10">
      <c r="A9" s="9" t="s">
        <v>85</v>
      </c>
      <c r="B9" s="36">
        <f>INDEX(Hypothèses!$C$40:$E$40,Hypothèses!$B$12)</f>
        <v>0.17640788369666427</v>
      </c>
    </row>
    <row r="10" spans="1:10">
      <c r="A10" s="9" t="s">
        <v>146</v>
      </c>
      <c r="B10" s="36">
        <f>Hypothèses!$C$20/Hypothèses!$C$21</f>
        <v>0.55494533012727487</v>
      </c>
    </row>
    <row r="11" spans="1:10">
      <c r="A11" s="9" t="s">
        <v>90</v>
      </c>
      <c r="B11" s="36">
        <f>INDEX(Hypothèses!$C$44:$E$44,Hypothèses!$B$12)</f>
        <v>0.23536975640032587</v>
      </c>
    </row>
    <row r="12" spans="1:10">
      <c r="A12" s="9" t="s">
        <v>92</v>
      </c>
      <c r="B12" s="43">
        <f>INDEX(Hypothèses!$C$46:$E$46,Hypothèses!$B$12)</f>
        <v>4.4938913468273358E-3</v>
      </c>
    </row>
    <row r="13" spans="1:10">
      <c r="A13" s="9" t="s">
        <v>147</v>
      </c>
      <c r="B13" s="13">
        <f>Projection!$AA$43</f>
        <v>59421009.176914826</v>
      </c>
    </row>
    <row r="14" spans="1:10">
      <c r="A14" s="9" t="s">
        <v>148</v>
      </c>
      <c r="B14" s="12">
        <f>IF(ABS((1+((1+($B$11))^(1/12)-1)+$B$12-(1-(1-($B$9))^(1/12)))-((1+($B$8))^(1/12)))&lt;0.0000000001,$B$6*(1+((1+($B$11))^(1/12)-1)+$B$12-(1-(1-($B$9))^(1/12)))^36+$B$7*36*(1+((1+($B$11))^(1/12)-1)+$B$12-(1-(1-($B$9))^(1/12)))^35,$B$6*(1+((1+($B$11))^(1/12)-1)+$B$12-(1-(1-($B$9))^(1/12)))^36+$B$7*((1+($B$8))^(1/12))*((1+((1+($B$11))^(1/12)-1)+$B$12-(1-(1-($B$9))^(1/12)))^36-((1+($B$8))^(1/12))^36)/((1+((1+($B$11))^(1/12)-1)+$B$12-(1-(1-($B$9))^(1/12)))-((1+($B$8))^(1/12))))</f>
        <v>59421009.176916078</v>
      </c>
      <c r="C14" s="28" t="str">
        <f>IF(ABS(B14-B13)&lt;1,"OK","KO")</f>
        <v>OK</v>
      </c>
    </row>
    <row r="16" spans="1:10" ht="21.75" customHeight="1">
      <c r="A16" s="14" t="s">
        <v>149</v>
      </c>
      <c r="B16" s="15"/>
      <c r="C16" s="15"/>
      <c r="D16" s="15"/>
      <c r="E16" s="15"/>
      <c r="F16" s="15"/>
      <c r="G16" s="15"/>
      <c r="H16" s="15"/>
      <c r="I16" s="15"/>
      <c r="J16" s="15"/>
    </row>
    <row r="17" spans="1:10" ht="25.5">
      <c r="A17" s="23" t="s">
        <v>150</v>
      </c>
      <c r="B17" s="44">
        <f>-3*Hypothèses!$B$53</f>
        <v>-0.15000000000000002</v>
      </c>
      <c r="C17" s="44">
        <f>-2*Hypothèses!$B$53</f>
        <v>-0.1</v>
      </c>
      <c r="D17" s="44">
        <f>-1*Hypothèses!$B$53</f>
        <v>-0.05</v>
      </c>
      <c r="E17" s="44">
        <f>0*Hypothèses!$B$53</f>
        <v>0</v>
      </c>
      <c r="F17" s="44">
        <f>1*Hypothèses!$B$53</f>
        <v>0.05</v>
      </c>
      <c r="G17" s="44">
        <f>2*Hypothèses!$B$53</f>
        <v>0.1</v>
      </c>
      <c r="H17" s="44">
        <f>3*Hypothèses!$B$53</f>
        <v>0.15000000000000002</v>
      </c>
    </row>
    <row r="18" spans="1:10">
      <c r="A18" s="44">
        <f>-3*Hypothèses!$B$52</f>
        <v>-0.03</v>
      </c>
      <c r="B18" s="12">
        <f t="shared" ref="B18:H24" si="0">IF(ABS((1+((1+($B$11))^(1/12)-1)+$B$12-(1-(1-($B$9+$A18))^(1/12)))-((1+($B$8+B$17))^(1/12)))&lt;0.0000000001,$B$6*(1+((1+($B$11))^(1/12)-1)+$B$12-(1-(1-($B$9+$A18))^(1/12)))^36+$B$7*36*(1+((1+($B$11))^(1/12)-1)+$B$12-(1-(1-($B$9+$A18))^(1/12)))^35,$B$6*(1+((1+($B$11))^(1/12)-1)+$B$12-(1-(1-($B$9+$A18))^(1/12)))^36+$B$7*((1+($B$8+B$17))^(1/12))*((1+((1+($B$11))^(1/12)-1)+$B$12-(1-(1-($B$9+$A18))^(1/12)))^36-((1+($B$8+B$17))^(1/12))^36)/((1+((1+($B$11))^(1/12)-1)+$B$12-(1-(1-($B$9+$A18))^(1/12)))-((1+($B$8+B$17))^(1/12))))</f>
        <v>57400870.808737442</v>
      </c>
      <c r="C18" s="12">
        <f t="shared" si="0"/>
        <v>59523856.894069381</v>
      </c>
      <c r="D18" s="12">
        <f t="shared" si="0"/>
        <v>61752387.213330775</v>
      </c>
      <c r="E18" s="12">
        <f t="shared" si="0"/>
        <v>64089188.038497105</v>
      </c>
      <c r="F18" s="12">
        <f t="shared" si="0"/>
        <v>66536936.20728898</v>
      </c>
      <c r="G18" s="12">
        <f t="shared" si="0"/>
        <v>69098264.695867166</v>
      </c>
      <c r="H18" s="12">
        <f t="shared" si="0"/>
        <v>71775767.226776466</v>
      </c>
    </row>
    <row r="19" spans="1:10">
      <c r="A19" s="44">
        <f>-2*Hypothèses!$B$52</f>
        <v>-0.02</v>
      </c>
      <c r="B19" s="12">
        <f t="shared" si="0"/>
        <v>55893311.131056748</v>
      </c>
      <c r="C19" s="12">
        <f t="shared" si="0"/>
        <v>57991003.896161072</v>
      </c>
      <c r="D19" s="12">
        <f t="shared" si="0"/>
        <v>60193660.894311845</v>
      </c>
      <c r="E19" s="12">
        <f t="shared" si="0"/>
        <v>62503996.104457937</v>
      </c>
      <c r="F19" s="12">
        <f t="shared" si="0"/>
        <v>64924674.969611131</v>
      </c>
      <c r="G19" s="12">
        <f t="shared" si="0"/>
        <v>67458319.831195474</v>
      </c>
      <c r="H19" s="12">
        <f t="shared" si="0"/>
        <v>70107514.425376326</v>
      </c>
    </row>
    <row r="20" spans="1:10">
      <c r="A20" s="44">
        <f>-1*Hypothèses!$B$52</f>
        <v>-0.01</v>
      </c>
      <c r="B20" s="12">
        <f t="shared" si="0"/>
        <v>54414520.057673007</v>
      </c>
      <c r="C20" s="12">
        <f t="shared" si="0"/>
        <v>56487075.741692618</v>
      </c>
      <c r="D20" s="12">
        <f t="shared" si="0"/>
        <v>58664012.564464748</v>
      </c>
      <c r="E20" s="12">
        <f t="shared" si="0"/>
        <v>60948032.296842828</v>
      </c>
      <c r="F20" s="12">
        <f t="shared" si="0"/>
        <v>63341789.055860519</v>
      </c>
      <c r="G20" s="12">
        <f t="shared" si="0"/>
        <v>65847894.603414357</v>
      </c>
      <c r="H20" s="12">
        <f t="shared" si="0"/>
        <v>68468922.733112976</v>
      </c>
    </row>
    <row r="21" spans="1:10">
      <c r="A21" s="44">
        <f>0*Hypothèses!$B$52</f>
        <v>0</v>
      </c>
      <c r="B21" s="12">
        <f t="shared" si="0"/>
        <v>52964212.141095176</v>
      </c>
      <c r="C21" s="12">
        <f t="shared" si="0"/>
        <v>55011786.336337015</v>
      </c>
      <c r="D21" s="12">
        <f t="shared" si="0"/>
        <v>57163155.466454804</v>
      </c>
      <c r="E21" s="12">
        <f t="shared" si="0"/>
        <v>59421009.176916078</v>
      </c>
      <c r="F21" s="12">
        <f t="shared" si="0"/>
        <v>61787990.325446963</v>
      </c>
      <c r="G21" s="12">
        <f t="shared" si="0"/>
        <v>64266700.1476814</v>
      </c>
      <c r="H21" s="12">
        <f t="shared" si="0"/>
        <v>66859702.536670417</v>
      </c>
    </row>
    <row r="22" spans="1:10">
      <c r="A22" s="44">
        <f>1*Hypothèses!$B$52</f>
        <v>0.01</v>
      </c>
      <c r="B22" s="12">
        <f t="shared" si="0"/>
        <v>51542101.597880721</v>
      </c>
      <c r="C22" s="12">
        <f t="shared" si="0"/>
        <v>53564849.238175914</v>
      </c>
      <c r="D22" s="12">
        <f t="shared" si="0"/>
        <v>55690802.482765302</v>
      </c>
      <c r="E22" s="12">
        <f t="shared" si="0"/>
        <v>57922638.932176679</v>
      </c>
      <c r="F22" s="12">
        <f t="shared" si="0"/>
        <v>60262990.249395117</v>
      </c>
      <c r="G22" s="12">
        <f t="shared" si="0"/>
        <v>62714447.195081413</v>
      </c>
      <c r="H22" s="12">
        <f t="shared" si="0"/>
        <v>65279563.801864058</v>
      </c>
    </row>
    <row r="23" spans="1:10">
      <c r="A23" s="44">
        <f>2*Hypothèses!$B$52</f>
        <v>0.02</v>
      </c>
      <c r="B23" s="12">
        <f t="shared" si="0"/>
        <v>50147902.301560894</v>
      </c>
      <c r="C23" s="12">
        <f t="shared" si="0"/>
        <v>52145977.650111079</v>
      </c>
      <c r="D23" s="12">
        <f t="shared" si="0"/>
        <v>54246666.127540872</v>
      </c>
      <c r="E23" s="12">
        <f t="shared" si="0"/>
        <v>56452633.367606379</v>
      </c>
      <c r="F23" s="12">
        <f t="shared" si="0"/>
        <v>58766499.900940493</v>
      </c>
      <c r="G23" s="12">
        <f t="shared" si="0"/>
        <v>61190846.062516838</v>
      </c>
      <c r="H23" s="12">
        <f t="shared" si="0"/>
        <v>63728216.062773734</v>
      </c>
    </row>
    <row r="24" spans="1:10">
      <c r="A24" s="44">
        <f>3*Hypothèses!$B$52</f>
        <v>0.03</v>
      </c>
      <c r="B24" s="12">
        <f t="shared" si="0"/>
        <v>48781327.775268987</v>
      </c>
      <c r="C24" s="12">
        <f t="shared" si="0"/>
        <v>50754884.411950707</v>
      </c>
      <c r="D24" s="12">
        <f t="shared" si="0"/>
        <v>52830458.53811802</v>
      </c>
      <c r="E24" s="12">
        <f t="shared" si="0"/>
        <v>55010703.896514885</v>
      </c>
      <c r="F24" s="12">
        <f t="shared" si="0"/>
        <v>57298229.945683993</v>
      </c>
      <c r="G24" s="12">
        <f t="shared" si="0"/>
        <v>59695606.642116591</v>
      </c>
      <c r="H24" s="12">
        <f t="shared" si="0"/>
        <v>62205368.410350941</v>
      </c>
    </row>
    <row r="26" spans="1:10" ht="21.75" customHeight="1">
      <c r="A26" s="14" t="s">
        <v>151</v>
      </c>
      <c r="B26" s="15"/>
      <c r="C26" s="15"/>
      <c r="D26" s="15"/>
      <c r="E26" s="15"/>
      <c r="F26" s="15"/>
      <c r="G26" s="15"/>
      <c r="H26" s="15"/>
      <c r="I26" s="15"/>
      <c r="J26" s="15"/>
    </row>
    <row r="27" spans="1:10">
      <c r="B27" s="45">
        <f t="shared" ref="B27:H27" si="1">B17</f>
        <v>-0.15000000000000002</v>
      </c>
      <c r="C27" s="45">
        <f t="shared" si="1"/>
        <v>-0.1</v>
      </c>
      <c r="D27" s="45">
        <f t="shared" si="1"/>
        <v>-0.05</v>
      </c>
      <c r="E27" s="45">
        <f t="shared" si="1"/>
        <v>0</v>
      </c>
      <c r="F27" s="45">
        <f t="shared" si="1"/>
        <v>0.05</v>
      </c>
      <c r="G27" s="45">
        <f t="shared" si="1"/>
        <v>0.1</v>
      </c>
      <c r="H27" s="45">
        <f t="shared" si="1"/>
        <v>0.15000000000000002</v>
      </c>
    </row>
    <row r="28" spans="1:10">
      <c r="A28" s="45">
        <f t="shared" ref="A28:A34" si="2">A18</f>
        <v>-0.03</v>
      </c>
      <c r="B28" s="18">
        <f t="shared" ref="B28:H34" si="3">B18/$E$21-1</f>
        <v>-3.3997039029815435E-2</v>
      </c>
      <c r="C28" s="18">
        <f t="shared" si="3"/>
        <v>1.7308308724124366E-3</v>
      </c>
      <c r="D28" s="18">
        <f t="shared" si="3"/>
        <v>3.9234911501980996E-2</v>
      </c>
      <c r="E28" s="18">
        <f t="shared" si="3"/>
        <v>7.8561083465989334E-2</v>
      </c>
      <c r="F28" s="18">
        <f t="shared" si="3"/>
        <v>0.11975439543927013</v>
      </c>
      <c r="G28" s="18">
        <f t="shared" si="3"/>
        <v>0.16285915794763239</v>
      </c>
      <c r="H28" s="18">
        <f t="shared" si="3"/>
        <v>0.20791902091524861</v>
      </c>
    </row>
    <row r="29" spans="1:10">
      <c r="A29" s="45">
        <f t="shared" si="2"/>
        <v>-0.02</v>
      </c>
      <c r="B29" s="18">
        <f t="shared" si="3"/>
        <v>-5.9367858182216349E-2</v>
      </c>
      <c r="C29" s="18">
        <f t="shared" si="3"/>
        <v>-2.4065651199181137E-2</v>
      </c>
      <c r="D29" s="18">
        <f t="shared" si="3"/>
        <v>1.3003005638886567E-2</v>
      </c>
      <c r="E29" s="18">
        <f t="shared" si="3"/>
        <v>5.188378605894739E-2</v>
      </c>
      <c r="F29" s="18">
        <f t="shared" si="3"/>
        <v>9.2621546973542745E-2</v>
      </c>
      <c r="G29" s="18">
        <f t="shared" si="3"/>
        <v>0.13526041993581184</v>
      </c>
      <c r="H29" s="18">
        <f t="shared" si="3"/>
        <v>0.17984388680850194</v>
      </c>
    </row>
    <row r="30" spans="1:10">
      <c r="A30" s="45">
        <f t="shared" si="2"/>
        <v>-0.01</v>
      </c>
      <c r="B30" s="18">
        <f t="shared" si="3"/>
        <v>-8.4254528635437476E-2</v>
      </c>
      <c r="C30" s="18">
        <f t="shared" si="3"/>
        <v>-4.9375355212971317E-2</v>
      </c>
      <c r="D30" s="18">
        <f t="shared" si="3"/>
        <v>-1.2739544866993024E-2</v>
      </c>
      <c r="E30" s="18">
        <f t="shared" si="3"/>
        <v>2.5698370678631344E-2</v>
      </c>
      <c r="F30" s="18">
        <f t="shared" si="3"/>
        <v>6.5983057730826689E-2</v>
      </c>
      <c r="G30" s="18">
        <f t="shared" si="3"/>
        <v>0.10815846979917998</v>
      </c>
      <c r="H30" s="18">
        <f t="shared" si="3"/>
        <v>0.15226792142251</v>
      </c>
    </row>
    <row r="31" spans="1:10">
      <c r="A31" s="45">
        <f t="shared" si="2"/>
        <v>0</v>
      </c>
      <c r="B31" s="18">
        <f t="shared" si="3"/>
        <v>-0.10866185420373575</v>
      </c>
      <c r="C31" s="18">
        <f t="shared" si="3"/>
        <v>-7.4203095868859092E-2</v>
      </c>
      <c r="D31" s="18">
        <f t="shared" si="3"/>
        <v>-3.7997565873357897E-2</v>
      </c>
      <c r="E31" s="18">
        <f t="shared" si="3"/>
        <v>0</v>
      </c>
      <c r="F31" s="18">
        <f t="shared" si="3"/>
        <v>3.98340785745257E-2</v>
      </c>
      <c r="G31" s="18">
        <f t="shared" si="3"/>
        <v>8.1548446212653447E-2</v>
      </c>
      <c r="H31" s="18">
        <f t="shared" si="3"/>
        <v>0.12518625083607859</v>
      </c>
    </row>
    <row r="32" spans="1:10">
      <c r="A32" s="45">
        <f t="shared" si="2"/>
        <v>0.01</v>
      </c>
      <c r="B32" s="18">
        <f t="shared" si="3"/>
        <v>-0.13259464435511747</v>
      </c>
      <c r="C32" s="18">
        <f t="shared" si="3"/>
        <v>-9.8553693716382895E-2</v>
      </c>
      <c r="D32" s="18">
        <f t="shared" si="3"/>
        <v>-6.2775889299434673E-2</v>
      </c>
      <c r="E32" s="18">
        <f t="shared" si="3"/>
        <v>-2.5216169592109261E-2</v>
      </c>
      <c r="F32" s="18">
        <f t="shared" si="3"/>
        <v>1.4169753831884346E-2</v>
      </c>
      <c r="G32" s="18">
        <f t="shared" si="3"/>
        <v>5.5425481050981107E-2</v>
      </c>
      <c r="H32" s="18">
        <f t="shared" si="3"/>
        <v>9.8593994045188982E-2</v>
      </c>
    </row>
    <row r="33" spans="1:10">
      <c r="A33" s="45">
        <f t="shared" si="2"/>
        <v>0.02</v>
      </c>
      <c r="B33" s="18">
        <f t="shared" si="3"/>
        <v>-0.15605771433039894</v>
      </c>
      <c r="C33" s="18">
        <f t="shared" si="3"/>
        <v>-0.122431975282426</v>
      </c>
      <c r="D33" s="18">
        <f t="shared" si="3"/>
        <v>-8.7079353263245118E-2</v>
      </c>
      <c r="E33" s="18">
        <f t="shared" si="3"/>
        <v>-4.9954988150266111E-2</v>
      </c>
      <c r="F33" s="18">
        <f t="shared" si="3"/>
        <v>-1.1014778864271602E-2</v>
      </c>
      <c r="G33" s="18">
        <f t="shared" si="3"/>
        <v>2.9784699218610822E-2</v>
      </c>
      <c r="H33" s="18">
        <f t="shared" si="3"/>
        <v>7.2486262780116606E-2</v>
      </c>
    </row>
    <row r="34" spans="1:10">
      <c r="A34" s="45">
        <f t="shared" si="2"/>
        <v>0.03</v>
      </c>
      <c r="B34" s="18">
        <f t="shared" si="3"/>
        <v>-0.17905588526726679</v>
      </c>
      <c r="C34" s="18">
        <f t="shared" si="3"/>
        <v>-0.14584277320439709</v>
      </c>
      <c r="D34" s="18">
        <f t="shared" si="3"/>
        <v>-0.11091280222413924</v>
      </c>
      <c r="E34" s="18">
        <f t="shared" si="3"/>
        <v>-7.4221312318514254E-2</v>
      </c>
      <c r="F34" s="18">
        <f t="shared" si="3"/>
        <v>-3.5724388741225632E-2</v>
      </c>
      <c r="G34" s="18">
        <f t="shared" si="3"/>
        <v>4.62121847144914E-3</v>
      </c>
      <c r="H34" s="18">
        <f t="shared" si="3"/>
        <v>4.6858161313701352E-2</v>
      </c>
    </row>
    <row r="36" spans="1:10" ht="21.75" customHeight="1">
      <c r="A36" s="14" t="s">
        <v>152</v>
      </c>
      <c r="B36" s="15"/>
      <c r="C36" s="15"/>
      <c r="D36" s="15"/>
      <c r="E36" s="15"/>
      <c r="F36" s="15"/>
      <c r="G36" s="15"/>
      <c r="H36" s="15"/>
      <c r="I36" s="15"/>
      <c r="J36" s="15"/>
    </row>
    <row r="37" spans="1:10" ht="21.75" customHeight="1">
      <c r="A37" s="21" t="s">
        <v>40</v>
      </c>
      <c r="B37" s="21" t="s">
        <v>153</v>
      </c>
      <c r="C37" s="21" t="s">
        <v>154</v>
      </c>
      <c r="D37" s="21" t="s">
        <v>155</v>
      </c>
      <c r="E37" s="21" t="s">
        <v>156</v>
      </c>
      <c r="F37" s="21" t="s">
        <v>157</v>
      </c>
      <c r="G37" s="21" t="s">
        <v>158</v>
      </c>
      <c r="H37" s="21" t="s">
        <v>159</v>
      </c>
    </row>
    <row r="38" spans="1:10">
      <c r="A38" s="9" t="s">
        <v>160</v>
      </c>
      <c r="B38" s="12">
        <f>IF(ABS((1+((1+($B$11))^(1/12)-1)+$B$12-(1-(1-($B$9+-3*Hypothèses!$B$52))^(1/12)))-((1+($B$8))^(1/12)))&lt;0.0000000001,$B$6*(1+((1+($B$11))^(1/12)-1)+$B$12-(1-(1-($B$9+-3*Hypothèses!$B$52))^(1/12)))^36+$B$7*36*(1+((1+($B$11))^(1/12)-1)+$B$12-(1-(1-($B$9+-3*Hypothèses!$B$52))^(1/12)))^35,$B$6*(1+((1+($B$11))^(1/12)-1)+$B$12-(1-(1-($B$9+-3*Hypothèses!$B$52))^(1/12)))^36+$B$7*((1+($B$8))^(1/12))*((1+((1+($B$11))^(1/12)-1)+$B$12-(1-(1-($B$9+-3*Hypothèses!$B$52))^(1/12)))^36-((1+($B$8))^(1/12))^36)/((1+((1+($B$11))^(1/12)-1)+$B$12-(1-(1-($B$9+-3*Hypothèses!$B$52))^(1/12)))-((1+($B$8))^(1/12))))</f>
        <v>64089188.038497105</v>
      </c>
      <c r="C38" s="12">
        <f>IF(ABS((1+((1+($B$11))^(1/12)-1)+$B$12-(1-(1-($B$9+-2*Hypothèses!$B$52))^(1/12)))-((1+($B$8))^(1/12)))&lt;0.0000000001,$B$6*(1+((1+($B$11))^(1/12)-1)+$B$12-(1-(1-($B$9+-2*Hypothèses!$B$52))^(1/12)))^36+$B$7*36*(1+((1+($B$11))^(1/12)-1)+$B$12-(1-(1-($B$9+-2*Hypothèses!$B$52))^(1/12)))^35,$B$6*(1+((1+($B$11))^(1/12)-1)+$B$12-(1-(1-($B$9+-2*Hypothèses!$B$52))^(1/12)))^36+$B$7*((1+($B$8))^(1/12))*((1+((1+($B$11))^(1/12)-1)+$B$12-(1-(1-($B$9+-2*Hypothèses!$B$52))^(1/12)))^36-((1+($B$8))^(1/12))^36)/((1+((1+($B$11))^(1/12)-1)+$B$12-(1-(1-($B$9+-2*Hypothèses!$B$52))^(1/12)))-((1+($B$8))^(1/12))))</f>
        <v>62503996.104457937</v>
      </c>
      <c r="D38" s="12">
        <f>IF(ABS((1+((1+($B$11))^(1/12)-1)+$B$12-(1-(1-($B$9+-1*Hypothèses!$B$52))^(1/12)))-((1+($B$8))^(1/12)))&lt;0.0000000001,$B$6*(1+((1+($B$11))^(1/12)-1)+$B$12-(1-(1-($B$9+-1*Hypothèses!$B$52))^(1/12)))^36+$B$7*36*(1+((1+($B$11))^(1/12)-1)+$B$12-(1-(1-($B$9+-1*Hypothèses!$B$52))^(1/12)))^35,$B$6*(1+((1+($B$11))^(1/12)-1)+$B$12-(1-(1-($B$9+-1*Hypothèses!$B$52))^(1/12)))^36+$B$7*((1+($B$8))^(1/12))*((1+((1+($B$11))^(1/12)-1)+$B$12-(1-(1-($B$9+-1*Hypothèses!$B$52))^(1/12)))^36-((1+($B$8))^(1/12))^36)/((1+((1+($B$11))^(1/12)-1)+$B$12-(1-(1-($B$9+-1*Hypothèses!$B$52))^(1/12)))-((1+($B$8))^(1/12))))</f>
        <v>60948032.296842828</v>
      </c>
      <c r="E38" s="46">
        <f>IF(ABS((1+((1+($B$11))^(1/12)-1)+$B$12-(1-(1-($B$9+0*Hypothèses!$B$52))^(1/12)))-((1+($B$8))^(1/12)))&lt;0.0000000001,$B$6*(1+((1+($B$11))^(1/12)-1)+$B$12-(1-(1-($B$9+0*Hypothèses!$B$52))^(1/12)))^36+$B$7*36*(1+((1+($B$11))^(1/12)-1)+$B$12-(1-(1-($B$9+0*Hypothèses!$B$52))^(1/12)))^35,$B$6*(1+((1+($B$11))^(1/12)-1)+$B$12-(1-(1-($B$9+0*Hypothèses!$B$52))^(1/12)))^36+$B$7*((1+($B$8))^(1/12))*((1+((1+($B$11))^(1/12)-1)+$B$12-(1-(1-($B$9+0*Hypothèses!$B$52))^(1/12)))^36-((1+($B$8))^(1/12))^36)/((1+((1+($B$11))^(1/12)-1)+$B$12-(1-(1-($B$9+0*Hypothèses!$B$52))^(1/12)))-((1+($B$8))^(1/12))))</f>
        <v>59421009.176916078</v>
      </c>
      <c r="F38" s="12">
        <f>IF(ABS((1+((1+($B$11))^(1/12)-1)+$B$12-(1-(1-($B$9+1*Hypothèses!$B$52))^(1/12)))-((1+($B$8))^(1/12)))&lt;0.0000000001,$B$6*(1+((1+($B$11))^(1/12)-1)+$B$12-(1-(1-($B$9+1*Hypothèses!$B$52))^(1/12)))^36+$B$7*36*(1+((1+($B$11))^(1/12)-1)+$B$12-(1-(1-($B$9+1*Hypothèses!$B$52))^(1/12)))^35,$B$6*(1+((1+($B$11))^(1/12)-1)+$B$12-(1-(1-($B$9+1*Hypothèses!$B$52))^(1/12)))^36+$B$7*((1+($B$8))^(1/12))*((1+((1+($B$11))^(1/12)-1)+$B$12-(1-(1-($B$9+1*Hypothèses!$B$52))^(1/12)))^36-((1+($B$8))^(1/12))^36)/((1+((1+($B$11))^(1/12)-1)+$B$12-(1-(1-($B$9+1*Hypothèses!$B$52))^(1/12)))-((1+($B$8))^(1/12))))</f>
        <v>57922638.932176679</v>
      </c>
      <c r="G38" s="12">
        <f>IF(ABS((1+((1+($B$11))^(1/12)-1)+$B$12-(1-(1-($B$9+2*Hypothèses!$B$52))^(1/12)))-((1+($B$8))^(1/12)))&lt;0.0000000001,$B$6*(1+((1+($B$11))^(1/12)-1)+$B$12-(1-(1-($B$9+2*Hypothèses!$B$52))^(1/12)))^36+$B$7*36*(1+((1+($B$11))^(1/12)-1)+$B$12-(1-(1-($B$9+2*Hypothèses!$B$52))^(1/12)))^35,$B$6*(1+((1+($B$11))^(1/12)-1)+$B$12-(1-(1-($B$9+2*Hypothèses!$B$52))^(1/12)))^36+$B$7*((1+($B$8))^(1/12))*((1+((1+($B$11))^(1/12)-1)+$B$12-(1-(1-($B$9+2*Hypothèses!$B$52))^(1/12)))^36-((1+($B$8))^(1/12))^36)/((1+((1+($B$11))^(1/12)-1)+$B$12-(1-(1-($B$9+2*Hypothèses!$B$52))^(1/12)))-((1+($B$8))^(1/12))))</f>
        <v>56452633.367606379</v>
      </c>
      <c r="H38" s="12">
        <f>IF(ABS((1+((1+($B$11))^(1/12)-1)+$B$12-(1-(1-($B$9+3*Hypothèses!$B$52))^(1/12)))-((1+($B$8))^(1/12)))&lt;0.0000000001,$B$6*(1+((1+($B$11))^(1/12)-1)+$B$12-(1-(1-($B$9+3*Hypothèses!$B$52))^(1/12)))^36+$B$7*36*(1+((1+($B$11))^(1/12)-1)+$B$12-(1-(1-($B$9+3*Hypothèses!$B$52))^(1/12)))^35,$B$6*(1+((1+($B$11))^(1/12)-1)+$B$12-(1-(1-($B$9+3*Hypothèses!$B$52))^(1/12)))^36+$B$7*((1+($B$8))^(1/12))*((1+((1+($B$11))^(1/12)-1)+$B$12-(1-(1-($B$9+3*Hypothèses!$B$52))^(1/12)))^36-((1+($B$8))^(1/12))^36)/((1+((1+($B$11))^(1/12)-1)+$B$12-(1-(1-($B$9+3*Hypothèses!$B$52))^(1/12)))-((1+($B$8))^(1/12))))</f>
        <v>55010703.896514885</v>
      </c>
    </row>
    <row r="39" spans="1:10">
      <c r="A39" s="9" t="s">
        <v>161</v>
      </c>
      <c r="B39" s="12">
        <f>IF(ABS((1+((1+($B$11))^(1/12)-1)+$B$12-(1-(1-($B$9))^(1/12)))-((1+($B$8+-3*Hypothèses!$B$53))^(1/12)))&lt;0.0000000001,$B$6*(1+((1+($B$11))^(1/12)-1)+$B$12-(1-(1-($B$9))^(1/12)))^36+$B$7*36*(1+((1+($B$11))^(1/12)-1)+$B$12-(1-(1-($B$9))^(1/12)))^35,$B$6*(1+((1+($B$11))^(1/12)-1)+$B$12-(1-(1-($B$9))^(1/12)))^36+$B$7*((1+($B$8+-3*Hypothèses!$B$53))^(1/12))*((1+((1+($B$11))^(1/12)-1)+$B$12-(1-(1-($B$9))^(1/12)))^36-((1+($B$8+-3*Hypothèses!$B$53))^(1/12))^36)/((1+((1+($B$11))^(1/12)-1)+$B$12-(1-(1-($B$9))^(1/12)))-((1+($B$8+-3*Hypothèses!$B$53))^(1/12))))</f>
        <v>52964212.141095176</v>
      </c>
      <c r="C39" s="12">
        <f>IF(ABS((1+((1+($B$11))^(1/12)-1)+$B$12-(1-(1-($B$9))^(1/12)))-((1+($B$8+-2*Hypothèses!$B$53))^(1/12)))&lt;0.0000000001,$B$6*(1+((1+($B$11))^(1/12)-1)+$B$12-(1-(1-($B$9))^(1/12)))^36+$B$7*36*(1+((1+($B$11))^(1/12)-1)+$B$12-(1-(1-($B$9))^(1/12)))^35,$B$6*(1+((1+($B$11))^(1/12)-1)+$B$12-(1-(1-($B$9))^(1/12)))^36+$B$7*((1+($B$8+-2*Hypothèses!$B$53))^(1/12))*((1+((1+($B$11))^(1/12)-1)+$B$12-(1-(1-($B$9))^(1/12)))^36-((1+($B$8+-2*Hypothèses!$B$53))^(1/12))^36)/((1+((1+($B$11))^(1/12)-1)+$B$12-(1-(1-($B$9))^(1/12)))-((1+($B$8+-2*Hypothèses!$B$53))^(1/12))))</f>
        <v>55011786.336337015</v>
      </c>
      <c r="D39" s="12">
        <f>IF(ABS((1+((1+($B$11))^(1/12)-1)+$B$12-(1-(1-($B$9))^(1/12)))-((1+($B$8+-1*Hypothèses!$B$53))^(1/12)))&lt;0.0000000001,$B$6*(1+((1+($B$11))^(1/12)-1)+$B$12-(1-(1-($B$9))^(1/12)))^36+$B$7*36*(1+((1+($B$11))^(1/12)-1)+$B$12-(1-(1-($B$9))^(1/12)))^35,$B$6*(1+((1+($B$11))^(1/12)-1)+$B$12-(1-(1-($B$9))^(1/12)))^36+$B$7*((1+($B$8+-1*Hypothèses!$B$53))^(1/12))*((1+((1+($B$11))^(1/12)-1)+$B$12-(1-(1-($B$9))^(1/12)))^36-((1+($B$8+-1*Hypothèses!$B$53))^(1/12))^36)/((1+((1+($B$11))^(1/12)-1)+$B$12-(1-(1-($B$9))^(1/12)))-((1+($B$8+-1*Hypothèses!$B$53))^(1/12))))</f>
        <v>57163155.466454804</v>
      </c>
      <c r="E39" s="46">
        <f>IF(ABS((1+((1+($B$11))^(1/12)-1)+$B$12-(1-(1-($B$9))^(1/12)))-((1+($B$8+0*Hypothèses!$B$53))^(1/12)))&lt;0.0000000001,$B$6*(1+((1+($B$11))^(1/12)-1)+$B$12-(1-(1-($B$9))^(1/12)))^36+$B$7*36*(1+((1+($B$11))^(1/12)-1)+$B$12-(1-(1-($B$9))^(1/12)))^35,$B$6*(1+((1+($B$11))^(1/12)-1)+$B$12-(1-(1-($B$9))^(1/12)))^36+$B$7*((1+($B$8+0*Hypothèses!$B$53))^(1/12))*((1+((1+($B$11))^(1/12)-1)+$B$12-(1-(1-($B$9))^(1/12)))^36-((1+($B$8+0*Hypothèses!$B$53))^(1/12))^36)/((1+((1+($B$11))^(1/12)-1)+$B$12-(1-(1-($B$9))^(1/12)))-((1+($B$8+0*Hypothèses!$B$53))^(1/12))))</f>
        <v>59421009.176916078</v>
      </c>
      <c r="F39" s="12">
        <f>IF(ABS((1+((1+($B$11))^(1/12)-1)+$B$12-(1-(1-($B$9))^(1/12)))-((1+($B$8+1*Hypothèses!$B$53))^(1/12)))&lt;0.0000000001,$B$6*(1+((1+($B$11))^(1/12)-1)+$B$12-(1-(1-($B$9))^(1/12)))^36+$B$7*36*(1+((1+($B$11))^(1/12)-1)+$B$12-(1-(1-($B$9))^(1/12)))^35,$B$6*(1+((1+($B$11))^(1/12)-1)+$B$12-(1-(1-($B$9))^(1/12)))^36+$B$7*((1+($B$8+1*Hypothèses!$B$53))^(1/12))*((1+((1+($B$11))^(1/12)-1)+$B$12-(1-(1-($B$9))^(1/12)))^36-((1+($B$8+1*Hypothèses!$B$53))^(1/12))^36)/((1+((1+($B$11))^(1/12)-1)+$B$12-(1-(1-($B$9))^(1/12)))-((1+($B$8+1*Hypothèses!$B$53))^(1/12))))</f>
        <v>61787990.325446963</v>
      </c>
      <c r="G39" s="12">
        <f>IF(ABS((1+((1+($B$11))^(1/12)-1)+$B$12-(1-(1-($B$9))^(1/12)))-((1+($B$8+2*Hypothèses!$B$53))^(1/12)))&lt;0.0000000001,$B$6*(1+((1+($B$11))^(1/12)-1)+$B$12-(1-(1-($B$9))^(1/12)))^36+$B$7*36*(1+((1+($B$11))^(1/12)-1)+$B$12-(1-(1-($B$9))^(1/12)))^35,$B$6*(1+((1+($B$11))^(1/12)-1)+$B$12-(1-(1-($B$9))^(1/12)))^36+$B$7*((1+($B$8+2*Hypothèses!$B$53))^(1/12))*((1+((1+($B$11))^(1/12)-1)+$B$12-(1-(1-($B$9))^(1/12)))^36-((1+($B$8+2*Hypothèses!$B$53))^(1/12))^36)/((1+((1+($B$11))^(1/12)-1)+$B$12-(1-(1-($B$9))^(1/12)))-((1+($B$8+2*Hypothèses!$B$53))^(1/12))))</f>
        <v>64266700.1476814</v>
      </c>
      <c r="H39" s="12">
        <f>IF(ABS((1+((1+($B$11))^(1/12)-1)+$B$12-(1-(1-($B$9))^(1/12)))-((1+($B$8+3*Hypothèses!$B$53))^(1/12)))&lt;0.0000000001,$B$6*(1+((1+($B$11))^(1/12)-1)+$B$12-(1-(1-($B$9))^(1/12)))^36+$B$7*36*(1+((1+($B$11))^(1/12)-1)+$B$12-(1-(1-($B$9))^(1/12)))^35,$B$6*(1+((1+($B$11))^(1/12)-1)+$B$12-(1-(1-($B$9))^(1/12)))^36+$B$7*((1+($B$8+3*Hypothèses!$B$53))^(1/12))*((1+((1+($B$11))^(1/12)-1)+$B$12-(1-(1-($B$9))^(1/12)))^36-((1+($B$8+3*Hypothèses!$B$53))^(1/12))^36)/((1+((1+($B$11))^(1/12)-1)+$B$12-(1-(1-($B$9))^(1/12)))-((1+($B$8+3*Hypothèses!$B$53))^(1/12))))</f>
        <v>66859702.536670417</v>
      </c>
    </row>
    <row r="40" spans="1:10">
      <c r="A40" s="9" t="s">
        <v>162</v>
      </c>
      <c r="B40" s="12">
        <f>IF(ABS((1+((1+($B$11+-3*Hypothèses!$B$54))^(1/12)-1)+$B$12-(1-(1-($B$9))^(1/12)))-((1+($B$8))^(1/12)))&lt;0.0000000001,$B$6*(1+((1+($B$11+-3*Hypothèses!$B$54))^(1/12)-1)+$B$12-(1-(1-($B$9))^(1/12)))^36+$B$7*36*(1+((1+($B$11+-3*Hypothèses!$B$54))^(1/12)-1)+$B$12-(1-(1-($B$9))^(1/12)))^35,$B$6*(1+((1+($B$11+-3*Hypothèses!$B$54))^(1/12)-1)+$B$12-(1-(1-($B$9))^(1/12)))^36+$B$7*((1+($B$8))^(1/12))*((1+((1+($B$11+-3*Hypothèses!$B$54))^(1/12)-1)+$B$12-(1-(1-($B$9))^(1/12)))^36-((1+($B$8))^(1/12))^36)/((1+((1+($B$11+-3*Hypothèses!$B$54))^(1/12)-1)+$B$12-(1-(1-($B$9))^(1/12)))-((1+($B$8))^(1/12))))</f>
        <v>56353750.535517022</v>
      </c>
      <c r="C40" s="12">
        <f>IF(ABS((1+((1+($B$11+-2*Hypothèses!$B$54))^(1/12)-1)+$B$12-(1-(1-($B$9))^(1/12)))-((1+($B$8))^(1/12)))&lt;0.0000000001,$B$6*(1+((1+($B$11+-2*Hypothèses!$B$54))^(1/12)-1)+$B$12-(1-(1-($B$9))^(1/12)))^36+$B$7*36*(1+((1+($B$11+-2*Hypothèses!$B$54))^(1/12)-1)+$B$12-(1-(1-($B$9))^(1/12)))^35,$B$6*(1+((1+($B$11+-2*Hypothèses!$B$54))^(1/12)-1)+$B$12-(1-(1-($B$9))^(1/12)))^36+$B$7*((1+($B$8))^(1/12))*((1+((1+($B$11+-2*Hypothèses!$B$54))^(1/12)-1)+$B$12-(1-(1-($B$9))^(1/12)))^36-((1+($B$8))^(1/12))^36)/((1+((1+($B$11+-2*Hypothèses!$B$54))^(1/12)-1)+$B$12-(1-(1-($B$9))^(1/12)))-((1+($B$8))^(1/12))))</f>
        <v>57362449.804616094</v>
      </c>
      <c r="D40" s="12">
        <f>IF(ABS((1+((1+($B$11+-1*Hypothèses!$B$54))^(1/12)-1)+$B$12-(1-(1-($B$9))^(1/12)))-((1+($B$8))^(1/12)))&lt;0.0000000001,$B$6*(1+((1+($B$11+-1*Hypothèses!$B$54))^(1/12)-1)+$B$12-(1-(1-($B$9))^(1/12)))^36+$B$7*36*(1+((1+($B$11+-1*Hypothèses!$B$54))^(1/12)-1)+$B$12-(1-(1-($B$9))^(1/12)))^35,$B$6*(1+((1+($B$11+-1*Hypothèses!$B$54))^(1/12)-1)+$B$12-(1-(1-($B$9))^(1/12)))^36+$B$7*((1+($B$8))^(1/12))*((1+((1+($B$11+-1*Hypothèses!$B$54))^(1/12)-1)+$B$12-(1-(1-($B$9))^(1/12)))^36-((1+($B$8))^(1/12))^36)/((1+((1+($B$11+-1*Hypothèses!$B$54))^(1/12)-1)+$B$12-(1-(1-($B$9))^(1/12)))-((1+($B$8))^(1/12))))</f>
        <v>58384835.143510327</v>
      </c>
      <c r="E40" s="46">
        <f>IF(ABS((1+((1+($B$11+0*Hypothèses!$B$54))^(1/12)-1)+$B$12-(1-(1-($B$9))^(1/12)))-((1+($B$8))^(1/12)))&lt;0.0000000001,$B$6*(1+((1+($B$11+0*Hypothèses!$B$54))^(1/12)-1)+$B$12-(1-(1-($B$9))^(1/12)))^36+$B$7*36*(1+((1+($B$11+0*Hypothèses!$B$54))^(1/12)-1)+$B$12-(1-(1-($B$9))^(1/12)))^35,$B$6*(1+((1+($B$11+0*Hypothèses!$B$54))^(1/12)-1)+$B$12-(1-(1-($B$9))^(1/12)))^36+$B$7*((1+($B$8))^(1/12))*((1+((1+($B$11+0*Hypothèses!$B$54))^(1/12)-1)+$B$12-(1-(1-($B$9))^(1/12)))^36-((1+($B$8))^(1/12))^36)/((1+((1+($B$11+0*Hypothèses!$B$54))^(1/12)-1)+$B$12-(1-(1-($B$9))^(1/12)))-((1+($B$8))^(1/12))))</f>
        <v>59421009.176916078</v>
      </c>
      <c r="F40" s="12">
        <f>IF(ABS((1+((1+($B$11+1*Hypothèses!$B$54))^(1/12)-1)+$B$12-(1-(1-($B$9))^(1/12)))-((1+($B$8))^(1/12)))&lt;0.0000000001,$B$6*(1+((1+($B$11+1*Hypothèses!$B$54))^(1/12)-1)+$B$12-(1-(1-($B$9))^(1/12)))^36+$B$7*36*(1+((1+($B$11+1*Hypothèses!$B$54))^(1/12)-1)+$B$12-(1-(1-($B$9))^(1/12)))^35,$B$6*(1+((1+($B$11+1*Hypothèses!$B$54))^(1/12)-1)+$B$12-(1-(1-($B$9))^(1/12)))^36+$B$7*((1+($B$8))^(1/12))*((1+((1+($B$11+1*Hypothèses!$B$54))^(1/12)-1)+$B$12-(1-(1-($B$9))^(1/12)))^36-((1+($B$8))^(1/12))^36)/((1+((1+($B$11+1*Hypothèses!$B$54))^(1/12)-1)+$B$12-(1-(1-($B$9))^(1/12)))-((1+($B$8))^(1/12))))</f>
        <v>60471074.508601047</v>
      </c>
      <c r="G40" s="12">
        <f>IF(ABS((1+((1+($B$11+2*Hypothèses!$B$54))^(1/12)-1)+$B$12-(1-(1-($B$9))^(1/12)))-((1+($B$8))^(1/12)))&lt;0.0000000001,$B$6*(1+((1+($B$11+2*Hypothèses!$B$54))^(1/12)-1)+$B$12-(1-(1-($B$9))^(1/12)))^36+$B$7*36*(1+((1+($B$11+2*Hypothèses!$B$54))^(1/12)-1)+$B$12-(1-(1-($B$9))^(1/12)))^35,$B$6*(1+((1+($B$11+2*Hypothèses!$B$54))^(1/12)-1)+$B$12-(1-(1-($B$9))^(1/12)))^36+$B$7*((1+($B$8))^(1/12))*((1+((1+($B$11+2*Hypothèses!$B$54))^(1/12)-1)+$B$12-(1-(1-($B$9))^(1/12)))^36-((1+($B$8))^(1/12))^36)/((1+((1+($B$11+2*Hypothèses!$B$54))^(1/12)-1)+$B$12-(1-(1-($B$9))^(1/12)))-((1+($B$8))^(1/12))))</f>
        <v>61535133.722078435</v>
      </c>
      <c r="H40" s="12">
        <f>IF(ABS((1+((1+($B$11+3*Hypothèses!$B$54))^(1/12)-1)+$B$12-(1-(1-($B$9))^(1/12)))-((1+($B$8))^(1/12)))&lt;0.0000000001,$B$6*(1+((1+($B$11+3*Hypothèses!$B$54))^(1/12)-1)+$B$12-(1-(1-($B$9))^(1/12)))^36+$B$7*36*(1+((1+($B$11+3*Hypothèses!$B$54))^(1/12)-1)+$B$12-(1-(1-($B$9))^(1/12)))^35,$B$6*(1+((1+($B$11+3*Hypothèses!$B$54))^(1/12)-1)+$B$12-(1-(1-($B$9))^(1/12)))^36+$B$7*((1+($B$8))^(1/12))*((1+((1+($B$11+3*Hypothèses!$B$54))^(1/12)-1)+$B$12-(1-(1-($B$9))^(1/12)))^36-((1+($B$8))^(1/12))^36)/((1+((1+($B$11+3*Hypothèses!$B$54))^(1/12)-1)+$B$12-(1-(1-($B$9))^(1/12)))-((1+($B$8))^(1/12))))</f>
        <v>62613289.381248772</v>
      </c>
    </row>
    <row r="41" spans="1:10" ht="25.5">
      <c r="A41" s="25" t="s">
        <v>163</v>
      </c>
      <c r="B41" s="12">
        <f>ABS(F38-D38)/(2*Hypothèses!$B$52*100)</f>
        <v>1512696.6823330745</v>
      </c>
      <c r="C41" s="23" t="s">
        <v>164</v>
      </c>
      <c r="D41" s="12">
        <f>(F39-D39)/(2*Hypothèses!$B$53*100)</f>
        <v>462483.48589921591</v>
      </c>
      <c r="E41" s="23" t="s">
        <v>165</v>
      </c>
      <c r="F41" s="12">
        <f>(F40-D40)/(2*Hypothèses!$B$54*100)</f>
        <v>1043119.6825453602</v>
      </c>
      <c r="G41" s="23" t="s">
        <v>166</v>
      </c>
    </row>
    <row r="43" spans="1:10" ht="21.75" customHeight="1">
      <c r="A43" s="14" t="s">
        <v>167</v>
      </c>
      <c r="B43" s="15"/>
      <c r="C43" s="15"/>
      <c r="D43" s="15"/>
      <c r="E43" s="15"/>
      <c r="F43" s="15"/>
      <c r="G43" s="15"/>
      <c r="H43" s="15"/>
      <c r="I43" s="15"/>
      <c r="J43" s="15"/>
    </row>
    <row r="44" spans="1:10" ht="21.75" customHeight="1">
      <c r="A44" s="21" t="s">
        <v>40</v>
      </c>
      <c r="B44" s="21" t="s">
        <v>168</v>
      </c>
      <c r="C44" s="21" t="s">
        <v>169</v>
      </c>
      <c r="D44" s="21" t="s">
        <v>170</v>
      </c>
      <c r="E44" s="21" t="s">
        <v>171</v>
      </c>
    </row>
    <row r="45" spans="1:10">
      <c r="A45" s="9" t="s">
        <v>172</v>
      </c>
      <c r="B45" s="12">
        <f>IF(ABS((1+((1+($B$11))^(1/12)-1)+$B$12-(1-(1-($B$9+2*Hypothèses!$B$52))^(1/12)))-((1+($B$8))^(1/12)))&lt;0.0000000001,$B$6*(1+((1+($B$11))^(1/12)-1)+$B$12-(1-(1-($B$9+2*Hypothèses!$B$52))^(1/12)))^36+$B$7*36*(1+((1+($B$11))^(1/12)-1)+$B$12-(1-(1-($B$9+2*Hypothèses!$B$52))^(1/12)))^35,$B$6*(1+((1+($B$11))^(1/12)-1)+$B$12-(1-(1-($B$9+2*Hypothèses!$B$52))^(1/12)))^36+$B$7*((1+($B$8))^(1/12))*((1+((1+($B$11))^(1/12)-1)+$B$12-(1-(1-($B$9+2*Hypothèses!$B$52))^(1/12)))^36-((1+($B$8))^(1/12))^36)/((1+((1+($B$11))^(1/12)-1)+$B$12-(1-(1-($B$9+2*Hypothèses!$B$52))^(1/12)))-((1+($B$8))^(1/12))))</f>
        <v>56452633.367606379</v>
      </c>
      <c r="C45" s="12">
        <f>IF(ABS((1+((1+($B$11))^(1/12)-1)+$B$12-(1-(1-($B$9-2*Hypothèses!$B$52))^(1/12)))-((1+($B$8))^(1/12)))&lt;0.0000000001,$B$6*(1+((1+($B$11))^(1/12)-1)+$B$12-(1-(1-($B$9-2*Hypothèses!$B$52))^(1/12)))^36+$B$7*36*(1+((1+($B$11))^(1/12)-1)+$B$12-(1-(1-($B$9-2*Hypothèses!$B$52))^(1/12)))^35,$B$6*(1+((1+($B$11))^(1/12)-1)+$B$12-(1-(1-($B$9-2*Hypothèses!$B$52))^(1/12)))^36+$B$7*((1+($B$8))^(1/12))*((1+((1+($B$11))^(1/12)-1)+$B$12-(1-(1-($B$9-2*Hypothèses!$B$52))^(1/12)))^36-((1+($B$8))^(1/12))^36)/((1+((1+($B$11))^(1/12)-1)+$B$12-(1-(1-($B$9-2*Hypothèses!$B$52))^(1/12)))-((1+($B$8))^(1/12))))</f>
        <v>62503996.104457937</v>
      </c>
      <c r="D45" s="12">
        <f>C45-B45</f>
        <v>6051362.7368515581</v>
      </c>
      <c r="E45" s="18">
        <f>D45/$B$13</f>
        <v>0.10183877420921562</v>
      </c>
    </row>
    <row r="46" spans="1:10">
      <c r="A46" s="9" t="s">
        <v>173</v>
      </c>
      <c r="B46" s="12">
        <f>IF(ABS((1+((1+($B$11))^(1/12)-1)+$B$12-(1-(1-($B$9))^(1/12)))-((1+($B$8-2*Hypothèses!$B$53))^(1/12)))&lt;0.0000000001,$B$6*(1+((1+($B$11))^(1/12)-1)+$B$12-(1-(1-($B$9))^(1/12)))^36+$B$7*36*(1+((1+($B$11))^(1/12)-1)+$B$12-(1-(1-($B$9))^(1/12)))^35,$B$6*(1+((1+($B$11))^(1/12)-1)+$B$12-(1-(1-($B$9))^(1/12)))^36+$B$7*((1+($B$8-2*Hypothèses!$B$53))^(1/12))*((1+((1+($B$11))^(1/12)-1)+$B$12-(1-(1-($B$9))^(1/12)))^36-((1+($B$8-2*Hypothèses!$B$53))^(1/12))^36)/((1+((1+($B$11))^(1/12)-1)+$B$12-(1-(1-($B$9))^(1/12)))-((1+($B$8-2*Hypothèses!$B$53))^(1/12))))</f>
        <v>55011786.336337015</v>
      </c>
      <c r="C46" s="12">
        <f>IF(ABS((1+((1+($B$11))^(1/12)-1)+$B$12-(1-(1-($B$9))^(1/12)))-((1+($B$8+2*Hypothèses!$B$53))^(1/12)))&lt;0.0000000001,$B$6*(1+((1+($B$11))^(1/12)-1)+$B$12-(1-(1-($B$9))^(1/12)))^36+$B$7*36*(1+((1+($B$11))^(1/12)-1)+$B$12-(1-(1-($B$9))^(1/12)))^35,$B$6*(1+((1+($B$11))^(1/12)-1)+$B$12-(1-(1-($B$9))^(1/12)))^36+$B$7*((1+($B$8+2*Hypothèses!$B$53))^(1/12))*((1+((1+($B$11))^(1/12)-1)+$B$12-(1-(1-($B$9))^(1/12)))^36-((1+($B$8+2*Hypothèses!$B$53))^(1/12))^36)/((1+((1+($B$11))^(1/12)-1)+$B$12-(1-(1-($B$9))^(1/12)))-((1+($B$8+2*Hypothèses!$B$53))^(1/12))))</f>
        <v>64266700.1476814</v>
      </c>
      <c r="D46" s="12">
        <f>C46-B46</f>
        <v>9254913.8113443851</v>
      </c>
      <c r="E46" s="18">
        <f>D46/$B$13</f>
        <v>0.15575154208151579</v>
      </c>
    </row>
    <row r="47" spans="1:10">
      <c r="A47" s="9" t="s">
        <v>174</v>
      </c>
      <c r="B47" s="12">
        <f>IF(ABS((1+((1+($B$11-2*Hypothèses!$B$54))^(1/12)-1)+$B$12-(1-(1-($B$9))^(1/12)))-((1+($B$8))^(1/12)))&lt;0.0000000001,$B$6*(1+((1+($B$11-2*Hypothèses!$B$54))^(1/12)-1)+$B$12-(1-(1-($B$9))^(1/12)))^36+$B$7*36*(1+((1+($B$11-2*Hypothèses!$B$54))^(1/12)-1)+$B$12-(1-(1-($B$9))^(1/12)))^35,$B$6*(1+((1+($B$11-2*Hypothèses!$B$54))^(1/12)-1)+$B$12-(1-(1-($B$9))^(1/12)))^36+$B$7*((1+($B$8))^(1/12))*((1+((1+($B$11-2*Hypothèses!$B$54))^(1/12)-1)+$B$12-(1-(1-($B$9))^(1/12)))^36-((1+($B$8))^(1/12))^36)/((1+((1+($B$11-2*Hypothèses!$B$54))^(1/12)-1)+$B$12-(1-(1-($B$9))^(1/12)))-((1+($B$8))^(1/12))))</f>
        <v>57362449.804616094</v>
      </c>
      <c r="C47" s="12">
        <f>IF(ABS((1+((1+($B$11+2*Hypothèses!$B$54))^(1/12)-1)+$B$12-(1-(1-($B$9))^(1/12)))-((1+($B$8))^(1/12)))&lt;0.0000000001,$B$6*(1+((1+($B$11+2*Hypothèses!$B$54))^(1/12)-1)+$B$12-(1-(1-($B$9))^(1/12)))^36+$B$7*36*(1+((1+($B$11+2*Hypothèses!$B$54))^(1/12)-1)+$B$12-(1-(1-($B$9))^(1/12)))^35,$B$6*(1+((1+($B$11+2*Hypothèses!$B$54))^(1/12)-1)+$B$12-(1-(1-($B$9))^(1/12)))^36+$B$7*((1+($B$8))^(1/12))*((1+((1+($B$11+2*Hypothèses!$B$54))^(1/12)-1)+$B$12-(1-(1-($B$9))^(1/12)))^36-((1+($B$8))^(1/12))^36)/((1+((1+($B$11+2*Hypothèses!$B$54))^(1/12)-1)+$B$12-(1-(1-($B$9))^(1/12)))-((1+($B$8))^(1/12))))</f>
        <v>61535133.722078435</v>
      </c>
      <c r="D47" s="12">
        <f>C47-B47</f>
        <v>4172683.9174623415</v>
      </c>
      <c r="E47" s="18">
        <f>D47/$B$13</f>
        <v>7.0222367059417715E-2</v>
      </c>
    </row>
    <row r="48" spans="1:10">
      <c r="A48" s="9" t="s">
        <v>175</v>
      </c>
      <c r="B48" s="12">
        <f>IF(ABS((1+((1+($B$11))^(1/12)-1)+$B$12-(1-(1-($B$9))^(1/12)))-((1+($B$8))^(1/12)))&lt;0.0000000001,$B$6*(1+((1+($B$11))^(1/12)-1)+$B$12-(1-(1-($B$9))^(1/12)))^36+$B$7*(1-Hypothèses!$B$55)*36*(1+((1+($B$11))^(1/12)-1)+$B$12-(1-(1-($B$9))^(1/12)))^35,$B$6*(1+((1+($B$11))^(1/12)-1)+$B$12-(1-(1-($B$9))^(1/12)))^36+$B$7*(1-Hypothèses!$B$55)*((1+($B$8))^(1/12))*((1+((1+($B$11))^(1/12)-1)+$B$12-(1-(1-($B$9))^(1/12)))^36-((1+($B$8))^(1/12))^36)/((1+((1+($B$11))^(1/12)-1)+$B$12-(1-(1-($B$9))^(1/12)))-((1+($B$8))^(1/12))))</f>
        <v>56154916.077849582</v>
      </c>
      <c r="C48" s="12">
        <f>IF(ABS((1+((1+($B$11))^(1/12)-1)+$B$12-(1-(1-($B$9))^(1/12)))-((1+($B$8))^(1/12)))&lt;0.0000000001,$B$6*(1+((1+($B$11))^(1/12)-1)+$B$12-(1-(1-($B$9))^(1/12)))^36+$B$7*(1+Hypothèses!$B$55)*36*(1+((1+($B$11))^(1/12)-1)+$B$12-(1-(1-($B$9))^(1/12)))^35,$B$6*(1+((1+($B$11))^(1/12)-1)+$B$12-(1-(1-($B$9))^(1/12)))^36+$B$7*(1+Hypothèses!$B$55)*((1+($B$8))^(1/12))*((1+((1+($B$11))^(1/12)-1)+$B$12-(1-(1-($B$9))^(1/12)))^36-((1+($B$8))^(1/12))^36)/((1+((1+($B$11))^(1/12)-1)+$B$12-(1-(1-($B$9))^(1/12)))-((1+($B$8))^(1/12))))</f>
        <v>62687102.275982574</v>
      </c>
      <c r="D48" s="12">
        <f>C48-B48</f>
        <v>6532186.1981329918</v>
      </c>
      <c r="E48" s="18">
        <f>D48/$B$13</f>
        <v>0.10993058328384565</v>
      </c>
    </row>
  </sheetData>
  <conditionalFormatting sqref="B18:H24">
    <cfRule type="colorScale" priority="2">
      <colorScale>
        <cfvo type="min"/>
        <cfvo type="percentile" val="50"/>
        <cfvo type="max"/>
        <color rgb="FFF4C7C4"/>
        <color rgb="FFFFFFFF"/>
        <color rgb="FFB7E4C7"/>
      </colorScale>
    </cfRule>
  </conditionalFormatting>
  <conditionalFormatting sqref="B28:H34">
    <cfRule type="colorScale" priority="3">
      <colorScale>
        <cfvo type="min"/>
        <cfvo type="num" val="0"/>
        <cfvo type="max"/>
        <color rgb="FFF4C7C4"/>
        <color rgb="FFFFFFFF"/>
        <color rgb="FFB7E4C7"/>
      </colorScale>
    </cfRule>
  </conditionalFormatting>
  <conditionalFormatting sqref="C14">
    <cfRule type="cellIs" dxfId="5" priority="4" operator="equal">
      <formula>"OK"</formula>
    </cfRule>
    <cfRule type="cellIs" dxfId="4" priority="5" operator="equal">
      <formula>"KO"</formula>
    </cfRule>
  </conditionalFormatting>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20512"/>
  </sheetPr>
  <dimension ref="A1:K274"/>
  <sheetViews>
    <sheetView showGridLines="0" zoomScaleNormal="100" workbookViewId="0">
      <pane xSplit="2" ySplit="4" topLeftCell="C5" activePane="bottomRight" state="frozen"/>
      <selection pane="topRight" activeCell="C1" sqref="C1"/>
      <selection pane="bottomLeft" activeCell="A5" sqref="A5"/>
      <selection pane="bottomRight" activeCell="C12" sqref="C12"/>
    </sheetView>
  </sheetViews>
  <sheetFormatPr baseColWidth="10" defaultColWidth="8.6640625" defaultRowHeight="14.25"/>
  <cols>
    <col min="1" max="1" width="62" customWidth="1"/>
    <col min="2" max="2" width="16" customWidth="1"/>
    <col min="3" max="12" width="17" customWidth="1"/>
  </cols>
  <sheetData>
    <row r="1" spans="1:10">
      <c r="A1" s="5" t="s">
        <v>176</v>
      </c>
    </row>
    <row r="2" spans="1:10" ht="25.5" customHeight="1">
      <c r="A2" s="6" t="s">
        <v>177</v>
      </c>
    </row>
    <row r="3" spans="1:10">
      <c r="A3" s="7" t="s">
        <v>178</v>
      </c>
    </row>
    <row r="4" spans="1:10">
      <c r="A4" s="25" t="s">
        <v>143</v>
      </c>
      <c r="B4" s="42" t="str">
        <f>Hypothèses!$B$11</f>
        <v>Central</v>
      </c>
      <c r="D4" s="23" t="s">
        <v>179</v>
      </c>
      <c r="E4" s="36">
        <f>INDEX(Hypothèses!$C$30:$E$30,Hypothèses!$B$12)</f>
        <v>0.1</v>
      </c>
      <c r="F4" s="23" t="s">
        <v>180</v>
      </c>
      <c r="G4" s="47">
        <f>INDEX(Hypothèses!$C$32:$E$32,Hypothèses!$B$12)</f>
        <v>0</v>
      </c>
      <c r="H4" s="23" t="s">
        <v>181</v>
      </c>
      <c r="I4" s="47">
        <f>INDEX(Hypothèses!$C$33:$E$33,Hypothèses!$B$12)</f>
        <v>0</v>
      </c>
      <c r="J4" s="23" t="s">
        <v>182</v>
      </c>
    </row>
    <row r="6" spans="1:10" ht="21.75" customHeight="1">
      <c r="A6" s="14" t="s">
        <v>183</v>
      </c>
      <c r="B6" s="15"/>
      <c r="C6" s="15"/>
      <c r="D6" s="15"/>
      <c r="E6" s="15"/>
      <c r="F6" s="15"/>
      <c r="G6" s="15"/>
    </row>
    <row r="7" spans="1:10" ht="30" customHeight="1">
      <c r="A7" s="33" t="s">
        <v>80</v>
      </c>
      <c r="B7" s="33" t="s">
        <v>64</v>
      </c>
      <c r="C7" s="33" t="s">
        <v>184</v>
      </c>
      <c r="D7" s="33" t="s">
        <v>185</v>
      </c>
      <c r="E7" s="33" t="s">
        <v>186</v>
      </c>
      <c r="F7" s="33" t="s">
        <v>187</v>
      </c>
    </row>
    <row r="8" spans="1:10">
      <c r="A8" s="9" t="s">
        <v>188</v>
      </c>
      <c r="B8" s="22" t="s">
        <v>82</v>
      </c>
      <c r="C8" s="13">
        <f>'Données ARR'!P20*Hypothèses!$B$6/'Données ARR'!$B$42</f>
        <v>4370421.01</v>
      </c>
      <c r="D8" s="13">
        <f>'Données ARR'!Q20*Hypothèses!$B$6/'Données ARR'!$B$42</f>
        <v>6358933.29</v>
      </c>
      <c r="E8" s="13">
        <f>'Données ARR'!R20*Hypothèses!$B$6/'Données ARR'!$B$42</f>
        <v>10676249.289999999</v>
      </c>
      <c r="F8" s="46">
        <f t="shared" ref="F8:F21" si="0">SUM(C8:E8)</f>
        <v>21405603.59</v>
      </c>
    </row>
    <row r="9" spans="1:10">
      <c r="A9" s="9" t="s">
        <v>189</v>
      </c>
      <c r="B9" s="22" t="s">
        <v>86</v>
      </c>
      <c r="C9" s="18">
        <f>C8/Hypothèses!$B$6</f>
        <v>0.20417181845046023</v>
      </c>
      <c r="D9" s="18">
        <f>D8/Hypothèses!$B$6</f>
        <v>0.29706862800031886</v>
      </c>
      <c r="E9" s="18">
        <f>E8/Hypothèses!$B$6</f>
        <v>0.49875955354922086</v>
      </c>
      <c r="F9" s="27">
        <f t="shared" si="0"/>
        <v>1</v>
      </c>
    </row>
    <row r="10" spans="1:10">
      <c r="A10" s="9" t="s">
        <v>190</v>
      </c>
      <c r="B10" s="22" t="s">
        <v>82</v>
      </c>
      <c r="C10" s="13">
        <f>'Données segments'!$G$7</f>
        <v>1882709.1199999999</v>
      </c>
      <c r="D10" s="13">
        <f>'Données segments'!$G$12</f>
        <v>2475460.9700000002</v>
      </c>
      <c r="E10" s="13">
        <f>'Données segments'!$G$17</f>
        <v>4232573.33</v>
      </c>
      <c r="F10" s="46">
        <f t="shared" si="0"/>
        <v>8590743.4199999999</v>
      </c>
    </row>
    <row r="11" spans="1:10">
      <c r="A11" s="9" t="s">
        <v>191</v>
      </c>
      <c r="B11" s="22" t="s">
        <v>82</v>
      </c>
      <c r="C11" s="13">
        <f>'Données segments'!$G$8</f>
        <v>539718.08000000007</v>
      </c>
      <c r="D11" s="13">
        <f>'Données segments'!$G$13</f>
        <v>813475.92</v>
      </c>
      <c r="E11" s="13">
        <f>'Données segments'!$G$18</f>
        <v>1383282.91</v>
      </c>
      <c r="F11" s="46">
        <f t="shared" si="0"/>
        <v>2736476.91</v>
      </c>
    </row>
    <row r="12" spans="1:10">
      <c r="A12" s="9" t="s">
        <v>192</v>
      </c>
      <c r="B12" s="22" t="s">
        <v>82</v>
      </c>
      <c r="C12" s="13">
        <f>'Données segments'!$G$9</f>
        <v>103003.75</v>
      </c>
      <c r="D12" s="13">
        <f>'Données segments'!$G$14</f>
        <v>130779.13</v>
      </c>
      <c r="E12" s="13">
        <f>'Données segments'!$G$19</f>
        <v>264989.82</v>
      </c>
      <c r="F12" s="46">
        <f t="shared" si="0"/>
        <v>498772.7</v>
      </c>
    </row>
    <row r="13" spans="1:10">
      <c r="A13" s="9" t="s">
        <v>193</v>
      </c>
      <c r="B13" s="22" t="s">
        <v>82</v>
      </c>
      <c r="C13" s="13">
        <f>'Données segments'!$G$10</f>
        <v>-241188.49</v>
      </c>
      <c r="D13" s="13">
        <f>'Données segments'!$G$15</f>
        <v>-228902.52000000002</v>
      </c>
      <c r="E13" s="13">
        <f>'Données segments'!$G$20</f>
        <v>-468034.66000000003</v>
      </c>
      <c r="F13" s="46">
        <f t="shared" si="0"/>
        <v>-938125.67</v>
      </c>
    </row>
    <row r="14" spans="1:10">
      <c r="A14" s="9" t="s">
        <v>194</v>
      </c>
      <c r="B14" s="22" t="s">
        <v>82</v>
      </c>
      <c r="C14" s="13">
        <f>'Données segments'!$G$11</f>
        <v>-200573.62</v>
      </c>
      <c r="D14" s="13">
        <f>'Données segments'!$G$16</f>
        <v>-355648.31000000006</v>
      </c>
      <c r="E14" s="13">
        <f>'Données segments'!$G$21</f>
        <v>-740580</v>
      </c>
      <c r="F14" s="46">
        <f t="shared" si="0"/>
        <v>-1296801.9300000002</v>
      </c>
    </row>
    <row r="15" spans="1:10">
      <c r="A15" s="9" t="s">
        <v>195</v>
      </c>
      <c r="B15" s="22" t="s">
        <v>82</v>
      </c>
      <c r="C15" s="13">
        <f>SUM('Données ARR'!P6:P17)</f>
        <v>37472707.860000007</v>
      </c>
      <c r="D15" s="13">
        <f>SUM('Données ARR'!Q6:Q17)</f>
        <v>54615423.980000012</v>
      </c>
      <c r="E15" s="13">
        <f>SUM('Données ARR'!R6:R17)</f>
        <v>94260009.549999982</v>
      </c>
      <c r="F15" s="46">
        <f t="shared" si="0"/>
        <v>186348141.38999999</v>
      </c>
    </row>
    <row r="16" spans="1:10">
      <c r="A16" s="9" t="s">
        <v>196</v>
      </c>
      <c r="B16" s="22" t="s">
        <v>82</v>
      </c>
      <c r="C16" s="12">
        <f>C10*$F$40</f>
        <v>1847743.8158941218</v>
      </c>
      <c r="D16" s="12">
        <f>D10*$F$40</f>
        <v>2429487.1949230079</v>
      </c>
      <c r="E16" s="12">
        <f>E10*$F$40</f>
        <v>4153966.8091828711</v>
      </c>
      <c r="F16" s="46">
        <f t="shared" si="0"/>
        <v>8431197.8200000003</v>
      </c>
    </row>
    <row r="17" spans="1:6">
      <c r="A17" s="9" t="s">
        <v>197</v>
      </c>
      <c r="B17" s="22" t="s">
        <v>82</v>
      </c>
      <c r="C17" s="12">
        <f>C11*$F$41</f>
        <v>653120.77358807006</v>
      </c>
      <c r="D17" s="12">
        <f>D11*$F$41</f>
        <v>984399.15551034897</v>
      </c>
      <c r="E17" s="12">
        <f>E11*$F$41</f>
        <v>1673930.9609015814</v>
      </c>
      <c r="F17" s="46">
        <f t="shared" si="0"/>
        <v>3311450.8900000006</v>
      </c>
    </row>
    <row r="18" spans="1:6">
      <c r="A18" s="9" t="s">
        <v>198</v>
      </c>
      <c r="B18" s="22" t="s">
        <v>82</v>
      </c>
      <c r="C18" s="12">
        <f>C12*$F$42</f>
        <v>172941.01151912485</v>
      </c>
      <c r="D18" s="12">
        <f>D12*$F$42</f>
        <v>219575.25845215467</v>
      </c>
      <c r="E18" s="12">
        <f>E12*$F$42</f>
        <v>444912.0300287205</v>
      </c>
      <c r="F18" s="46">
        <f t="shared" si="0"/>
        <v>837428.3</v>
      </c>
    </row>
    <row r="19" spans="1:6">
      <c r="A19" s="9" t="s">
        <v>199</v>
      </c>
      <c r="B19" s="22" t="s">
        <v>82</v>
      </c>
      <c r="C19" s="12">
        <f>C13*$F$43</f>
        <v>-342078.66432720429</v>
      </c>
      <c r="D19" s="12">
        <f>D13*$F$43</f>
        <v>-324653.42066170397</v>
      </c>
      <c r="E19" s="12">
        <f>E13*$F$43</f>
        <v>-663815.55501109199</v>
      </c>
      <c r="F19" s="46">
        <f t="shared" si="0"/>
        <v>-1330547.6400000001</v>
      </c>
    </row>
    <row r="20" spans="1:6">
      <c r="A20" s="9" t="s">
        <v>200</v>
      </c>
      <c r="B20" s="22" t="s">
        <v>82</v>
      </c>
      <c r="C20" s="12">
        <f>C14*$F$44</f>
        <v>-256606.36959236118</v>
      </c>
      <c r="D20" s="12">
        <f>D14*$F$44</f>
        <v>-455003.11397260847</v>
      </c>
      <c r="E20" s="12">
        <f>E14*$F$44</f>
        <v>-947470.28643502994</v>
      </c>
      <c r="F20" s="46">
        <f t="shared" si="0"/>
        <v>-1659079.7699999996</v>
      </c>
    </row>
    <row r="21" spans="1:6">
      <c r="A21" s="9" t="s">
        <v>201</v>
      </c>
      <c r="B21" s="22" t="s">
        <v>202</v>
      </c>
      <c r="C21" s="12">
        <f>C16/12*INDEX(Hypothèses!$C$31:$E$31,Hypothèses!$B$12)</f>
        <v>153978.65132451014</v>
      </c>
      <c r="D21" s="12">
        <f>D16/12*INDEX(Hypothèses!$C$31:$E$31,Hypothèses!$B$12)</f>
        <v>202457.26624358399</v>
      </c>
      <c r="E21" s="12">
        <f>E16/12*INDEX(Hypothèses!$C$31:$E$31,Hypothèses!$B$12)</f>
        <v>346163.90076523926</v>
      </c>
      <c r="F21" s="46">
        <f t="shared" si="0"/>
        <v>702599.81833333336</v>
      </c>
    </row>
    <row r="22" spans="1:6">
      <c r="A22" s="9" t="s">
        <v>203</v>
      </c>
      <c r="B22" s="22" t="s">
        <v>86</v>
      </c>
      <c r="C22" s="24">
        <f>C17/C15</f>
        <v>1.7429238795022856E-2</v>
      </c>
      <c r="D22" s="24">
        <f>D17/D15</f>
        <v>1.8024196898495794E-2</v>
      </c>
      <c r="E22" s="24">
        <f>E17/E15</f>
        <v>1.7758654692408546E-2</v>
      </c>
    </row>
    <row r="23" spans="1:6">
      <c r="A23" s="9" t="s">
        <v>92</v>
      </c>
      <c r="B23" s="22" t="s">
        <v>86</v>
      </c>
      <c r="C23" s="24">
        <f>C18/C15*INDEX(Hypothèses!$C$34:$E$34,Hypothèses!$B$12)</f>
        <v>4.6151191465864036E-3</v>
      </c>
      <c r="D23" s="24">
        <f>D18/D15*INDEX(Hypothèses!$C$34:$E$34,Hypothèses!$B$12)</f>
        <v>4.0203891584282567E-3</v>
      </c>
      <c r="E23" s="24">
        <f>E18/E15*INDEX(Hypothèses!$C$34:$E$34,Hypothèses!$B$12)</f>
        <v>4.720050763337957E-3</v>
      </c>
    </row>
    <row r="24" spans="1:6">
      <c r="A24" s="9" t="s">
        <v>88</v>
      </c>
      <c r="B24" s="22" t="s">
        <v>86</v>
      </c>
      <c r="C24" s="24">
        <f>-C19/C15</f>
        <v>9.1287415258387E-3</v>
      </c>
      <c r="D24" s="24">
        <f>-D19/D15</f>
        <v>5.9443541220258762E-3</v>
      </c>
      <c r="E24" s="24">
        <f>-E19/E15</f>
        <v>7.042387945642767E-3</v>
      </c>
    </row>
    <row r="25" spans="1:6">
      <c r="A25" s="9" t="s">
        <v>89</v>
      </c>
      <c r="B25" s="22" t="s">
        <v>86</v>
      </c>
      <c r="C25" s="24">
        <f>-C20/C15</f>
        <v>6.8478203003384747E-3</v>
      </c>
      <c r="D25" s="24">
        <f>-D20/D15</f>
        <v>8.3310369272099598E-3</v>
      </c>
      <c r="E25" s="24">
        <f>-E20/E15</f>
        <v>1.0051667626157482E-2</v>
      </c>
    </row>
    <row r="26" spans="1:6">
      <c r="A26" s="9" t="s">
        <v>204</v>
      </c>
      <c r="B26" s="22" t="s">
        <v>86</v>
      </c>
      <c r="C26" s="24">
        <f>C22</f>
        <v>1.7429238795022856E-2</v>
      </c>
      <c r="D26" s="24">
        <f>D22</f>
        <v>1.8024196898495794E-2</v>
      </c>
      <c r="E26" s="24">
        <f>E22</f>
        <v>1.7758654692408546E-2</v>
      </c>
    </row>
    <row r="27" spans="1:6">
      <c r="A27" s="9" t="s">
        <v>205</v>
      </c>
      <c r="B27" s="22" t="s">
        <v>86</v>
      </c>
      <c r="C27" s="18">
        <f>1-(1-C24-C25)^12</f>
        <v>0.17573793136210103</v>
      </c>
      <c r="D27" s="18">
        <f>1-(1-D24-D25)^12</f>
        <v>0.1584746793458589</v>
      </c>
      <c r="E27" s="18">
        <f>1-(1-E24-E25)^12</f>
        <v>0.18690078968988211</v>
      </c>
    </row>
    <row r="28" spans="1:6">
      <c r="A28" s="9" t="s">
        <v>206</v>
      </c>
      <c r="B28" s="22" t="s">
        <v>86</v>
      </c>
      <c r="C28" s="18">
        <f>(1+C26)^12-1</f>
        <v>0.23041203465645088</v>
      </c>
      <c r="D28" s="18">
        <f>(1+D26)^12-1</f>
        <v>0.23907389637318111</v>
      </c>
      <c r="E28" s="18">
        <f>(1+E26)^12-1</f>
        <v>0.23520104386689011</v>
      </c>
    </row>
    <row r="29" spans="1:6">
      <c r="A29" s="9" t="s">
        <v>207</v>
      </c>
      <c r="B29" s="22" t="s">
        <v>86</v>
      </c>
      <c r="C29" s="18">
        <f>(1+C26-C24-C25)^12</f>
        <v>1.0175720780994961</v>
      </c>
      <c r="D29" s="18">
        <f>(1+D26-D24-D25)^12</f>
        <v>1.0459248930159601</v>
      </c>
      <c r="E29" s="18">
        <f>(1+E26-E24-E25)^12</f>
        <v>1.0080044057959703</v>
      </c>
    </row>
    <row r="30" spans="1:6">
      <c r="A30" s="9" t="s">
        <v>208</v>
      </c>
      <c r="B30" s="22" t="s">
        <v>86</v>
      </c>
      <c r="C30" s="18">
        <f>MAX(C27+INDEX(Hypothèses!$C$32:$E$32,Hypothèses!$B$12),0)</f>
        <v>0.17573793136210103</v>
      </c>
      <c r="D30" s="18">
        <f>MAX(D27+INDEX(Hypothèses!$C$32:$E$32,Hypothèses!$B$12),0)</f>
        <v>0.1584746793458589</v>
      </c>
      <c r="E30" s="18">
        <f>MAX(E27+INDEX(Hypothèses!$C$32:$E$32,Hypothèses!$B$12),0)</f>
        <v>0.18690078968988211</v>
      </c>
    </row>
    <row r="31" spans="1:6">
      <c r="A31" s="9" t="s">
        <v>87</v>
      </c>
      <c r="B31" s="22" t="s">
        <v>86</v>
      </c>
      <c r="C31" s="24">
        <f>1-(1-C30)^(1/12)</f>
        <v>1.5976561826177127E-2</v>
      </c>
      <c r="D31" s="24">
        <f>1-(1-D30)^(1/12)</f>
        <v>1.4275391049235808E-2</v>
      </c>
      <c r="E31" s="24">
        <f>1-(1-E30)^(1/12)</f>
        <v>1.7094055571800215E-2</v>
      </c>
    </row>
    <row r="32" spans="1:6">
      <c r="A32" s="9" t="s">
        <v>209</v>
      </c>
      <c r="B32" s="22" t="s">
        <v>86</v>
      </c>
      <c r="C32" s="24">
        <f>C31*C24/(C24+C25)</f>
        <v>9.1287415258386722E-3</v>
      </c>
      <c r="D32" s="24">
        <f>D31*D24/(D24+D25)</f>
        <v>5.944354122025864E-3</v>
      </c>
      <c r="E32" s="24">
        <f>E31*E24/(E24+E25)</f>
        <v>7.0423879456427531E-3</v>
      </c>
    </row>
    <row r="33" spans="1:8">
      <c r="A33" s="9" t="s">
        <v>210</v>
      </c>
      <c r="B33" s="22" t="s">
        <v>86</v>
      </c>
      <c r="C33" s="24">
        <f>C31*C25/(C24+C25)</f>
        <v>6.8478203003384539E-3</v>
      </c>
      <c r="D33" s="24">
        <f>D31*D25/(D24+D25)</f>
        <v>8.3310369272099442E-3</v>
      </c>
      <c r="E33" s="24">
        <f>E31*E25/(E24+E25)</f>
        <v>1.0051667626157463E-2</v>
      </c>
    </row>
    <row r="34" spans="1:8">
      <c r="A34" s="9" t="s">
        <v>211</v>
      </c>
      <c r="B34" s="22" t="s">
        <v>86</v>
      </c>
      <c r="C34" s="18">
        <f>MAX(C28+INDEX(Hypothèses!$C$33:$E$33,Hypothèses!$B$12),0)</f>
        <v>0.23041203465645088</v>
      </c>
      <c r="D34" s="18">
        <f>MAX(D28+INDEX(Hypothèses!$C$33:$E$33,Hypothèses!$B$12),0)</f>
        <v>0.23907389637318111</v>
      </c>
      <c r="E34" s="18">
        <f>MAX(E28+INDEX(Hypothèses!$C$33:$E$33,Hypothèses!$B$12),0)</f>
        <v>0.23520104386689011</v>
      </c>
    </row>
    <row r="35" spans="1:8">
      <c r="A35" s="9" t="s">
        <v>212</v>
      </c>
      <c r="B35" s="22" t="s">
        <v>94</v>
      </c>
      <c r="C35" s="48">
        <f>((1+C34)^(1/12)-1)/C26</f>
        <v>0.99999999999999578</v>
      </c>
      <c r="D35" s="48">
        <f>((1+D34)^(1/12)-1)/D26</f>
        <v>0.99999999999999867</v>
      </c>
      <c r="E35" s="48">
        <f>((1+E34)^(1/12)-1)/E26</f>
        <v>0.99999999999999456</v>
      </c>
    </row>
    <row r="36" spans="1:8">
      <c r="A36" s="9" t="s">
        <v>213</v>
      </c>
      <c r="B36" s="22" t="s">
        <v>86</v>
      </c>
      <c r="C36" s="24">
        <f>C22*C35</f>
        <v>1.7429238795022783E-2</v>
      </c>
      <c r="D36" s="24">
        <f>D22*D35</f>
        <v>1.802419689849577E-2</v>
      </c>
      <c r="E36" s="24">
        <f>E22*E35</f>
        <v>1.7758654692408449E-2</v>
      </c>
    </row>
    <row r="37" spans="1:8">
      <c r="A37" s="9" t="s">
        <v>214</v>
      </c>
      <c r="B37" s="22" t="s">
        <v>94</v>
      </c>
      <c r="C37" s="32">
        <f>1+C36+C23-C32-C33</f>
        <v>1.0060677961154321</v>
      </c>
      <c r="D37" s="32">
        <f>1+D36+D23-D32-D33</f>
        <v>1.0077691950076881</v>
      </c>
      <c r="E37" s="32">
        <f>1+E36+E23-E32-E33</f>
        <v>1.0053846498839463</v>
      </c>
    </row>
    <row r="38" spans="1:8">
      <c r="A38" s="9" t="s">
        <v>215</v>
      </c>
      <c r="B38" s="22" t="s">
        <v>94</v>
      </c>
      <c r="C38" s="32">
        <f>(1+INDEX(Hypothèses!$C$30:$E$30,Hypothèses!$B$12))^(1/12)</f>
        <v>1.0079741404289038</v>
      </c>
      <c r="D38" s="32">
        <f>(1+INDEX(Hypothèses!$C$30:$E$30,Hypothèses!$B$12))^(1/12)</f>
        <v>1.0079741404289038</v>
      </c>
      <c r="E38" s="32">
        <f>(1+INDEX(Hypothèses!$C$30:$E$30,Hypothèses!$B$12))^(1/12)</f>
        <v>1.0079741404289038</v>
      </c>
    </row>
    <row r="39" spans="1:8" ht="25.5">
      <c r="A39" s="23" t="s">
        <v>216</v>
      </c>
    </row>
    <row r="40" spans="1:8">
      <c r="A40" s="23" t="s">
        <v>217</v>
      </c>
      <c r="F40" s="49">
        <f>Hypothèses!$B$16/F10</f>
        <v>0.98142819635043888</v>
      </c>
    </row>
    <row r="41" spans="1:8">
      <c r="A41" s="23" t="s">
        <v>218</v>
      </c>
      <c r="F41" s="49">
        <f>Hypothèses!$B$17/(F11)</f>
        <v>1.2101146835549219</v>
      </c>
    </row>
    <row r="42" spans="1:8">
      <c r="A42" s="23" t="s">
        <v>219</v>
      </c>
      <c r="F42" s="49">
        <f>Hypothèses!$B$18/F12</f>
        <v>1.6789778189544056</v>
      </c>
    </row>
    <row r="43" spans="1:8">
      <c r="A43" s="23" t="s">
        <v>220</v>
      </c>
      <c r="F43" s="49">
        <f>Hypothèses!$B$19/F13</f>
        <v>1.4183042662077461</v>
      </c>
    </row>
    <row r="44" spans="1:8">
      <c r="A44" s="23" t="s">
        <v>221</v>
      </c>
      <c r="F44" s="49">
        <f>Hypothèses!$B$20/F14</f>
        <v>1.2793625083516027</v>
      </c>
    </row>
    <row r="46" spans="1:8" ht="30" customHeight="1">
      <c r="A46" s="33" t="s">
        <v>222</v>
      </c>
      <c r="B46" s="33" t="s">
        <v>223</v>
      </c>
      <c r="C46" s="33" t="s">
        <v>184</v>
      </c>
      <c r="D46" s="33" t="s">
        <v>185</v>
      </c>
      <c r="E46" s="33" t="s">
        <v>186</v>
      </c>
      <c r="F46" s="33" t="s">
        <v>224</v>
      </c>
      <c r="G46" s="33" t="s">
        <v>225</v>
      </c>
      <c r="H46" s="33" t="s">
        <v>226</v>
      </c>
    </row>
    <row r="47" spans="1:8">
      <c r="A47" s="20">
        <v>0</v>
      </c>
      <c r="B47" s="9" t="s">
        <v>227</v>
      </c>
      <c r="C47" s="12">
        <f>C8</f>
        <v>4370421.01</v>
      </c>
      <c r="D47" s="12">
        <f>D8</f>
        <v>6358933.29</v>
      </c>
      <c r="E47" s="12">
        <f>E8</f>
        <v>10676249.289999999</v>
      </c>
      <c r="F47" s="46">
        <f t="shared" ref="F47:F83" si="1">SUM(C47:E47)</f>
        <v>21405603.59</v>
      </c>
      <c r="G47" s="13">
        <f>Projection!$AA$7</f>
        <v>21405603.59</v>
      </c>
      <c r="H47" s="32">
        <f t="shared" ref="H47:H83" si="2">G47/F47</f>
        <v>1</v>
      </c>
    </row>
    <row r="48" spans="1:8">
      <c r="A48" s="20">
        <v>1</v>
      </c>
      <c r="B48" s="9" t="s">
        <v>228</v>
      </c>
      <c r="C48" s="12">
        <f t="shared" ref="C48:C83" si="3">C47*C$37+C$21*C$38^$A48</f>
        <v>4552146.3323405059</v>
      </c>
      <c r="D48" s="12">
        <f t="shared" ref="D48:D83" si="4">D47*D$37+D$21*D$38^$A48</f>
        <v>6612408.7716863519</v>
      </c>
      <c r="E48" s="12">
        <f t="shared" ref="E48:E83" si="5">E47*E$37+E$21*E$38^$A48</f>
        <v>11082661.414821737</v>
      </c>
      <c r="F48" s="46">
        <f t="shared" si="1"/>
        <v>22247216.518848594</v>
      </c>
      <c r="G48" s="13">
        <f>Projection!$AA$8</f>
        <v>22246967.999648459</v>
      </c>
      <c r="H48" s="32">
        <f t="shared" si="2"/>
        <v>0.99998882920027665</v>
      </c>
    </row>
    <row r="49" spans="1:8">
      <c r="A49" s="20">
        <v>2</v>
      </c>
      <c r="B49" s="9" t="s">
        <v>229</v>
      </c>
      <c r="C49" s="12">
        <f t="shared" si="3"/>
        <v>4736211.9653022029</v>
      </c>
      <c r="D49" s="12">
        <f t="shared" si="4"/>
        <v>6869480.8501245687</v>
      </c>
      <c r="E49" s="12">
        <f t="shared" si="5"/>
        <v>11494044.297695084</v>
      </c>
      <c r="F49" s="46">
        <f t="shared" si="1"/>
        <v>23099737.113121852</v>
      </c>
      <c r="G49" s="13">
        <f>Projection!$AA$9</f>
        <v>23099213.752727423</v>
      </c>
      <c r="H49" s="32">
        <f t="shared" si="2"/>
        <v>0.99997734344802858</v>
      </c>
    </row>
    <row r="50" spans="1:8">
      <c r="A50" s="20">
        <v>3</v>
      </c>
      <c r="B50" s="9" t="s">
        <v>230</v>
      </c>
      <c r="C50" s="12">
        <f t="shared" si="3"/>
        <v>4922641.9785153177</v>
      </c>
      <c r="D50" s="12">
        <f t="shared" si="4"/>
        <v>7130190.4442654336</v>
      </c>
      <c r="E50" s="12">
        <f t="shared" si="5"/>
        <v>11910446.89142929</v>
      </c>
      <c r="F50" s="46">
        <f t="shared" si="1"/>
        <v>23963279.314210042</v>
      </c>
      <c r="G50" s="13">
        <f>Projection!$AA$10</f>
        <v>23962453.573315348</v>
      </c>
      <c r="H50" s="32">
        <f t="shared" si="2"/>
        <v>0.99996554140675542</v>
      </c>
    </row>
    <row r="51" spans="1:8">
      <c r="A51" s="20">
        <v>4</v>
      </c>
      <c r="B51" s="9" t="s">
        <v>231</v>
      </c>
      <c r="C51" s="12">
        <f t="shared" si="3"/>
        <v>5111460.6663572965</v>
      </c>
      <c r="D51" s="12">
        <f t="shared" si="4"/>
        <v>7394578.8944417927</v>
      </c>
      <c r="E51" s="12">
        <f t="shared" si="5"/>
        <v>12331918.589349741</v>
      </c>
      <c r="F51" s="46">
        <f t="shared" si="1"/>
        <v>24837958.150148831</v>
      </c>
      <c r="G51" s="13">
        <f>Projection!$AA$11</f>
        <v>24836801.245829854</v>
      </c>
      <c r="H51" s="32">
        <f t="shared" si="2"/>
        <v>0.9999534219233327</v>
      </c>
    </row>
    <row r="52" spans="1:8">
      <c r="A52" s="20">
        <v>5</v>
      </c>
      <c r="B52" s="9" t="s">
        <v>232</v>
      </c>
      <c r="C52" s="12">
        <f t="shared" si="3"/>
        <v>5302692.5499440702</v>
      </c>
      <c r="D52" s="12">
        <f t="shared" si="4"/>
        <v>7662687.9664674755</v>
      </c>
      <c r="E52" s="12">
        <f t="shared" si="5"/>
        <v>12758509.229080778</v>
      </c>
      <c r="F52" s="46">
        <f t="shared" si="1"/>
        <v>25723889.745492324</v>
      </c>
      <c r="G52" s="13">
        <f>Projection!$AA$12</f>
        <v>25722371.624487415</v>
      </c>
      <c r="H52" s="32">
        <f t="shared" si="2"/>
        <v>0.99994098400281106</v>
      </c>
    </row>
    <row r="53" spans="1:8">
      <c r="A53" s="20">
        <v>6</v>
      </c>
      <c r="B53" s="9" t="s">
        <v>233</v>
      </c>
      <c r="C53" s="12">
        <f t="shared" si="3"/>
        <v>5496362.3791384045</v>
      </c>
      <c r="D53" s="12">
        <f t="shared" si="4"/>
        <v>7934559.8557746373</v>
      </c>
      <c r="E53" s="12">
        <f t="shared" si="5"/>
        <v>13190269.096360151</v>
      </c>
      <c r="F53" s="46">
        <f t="shared" si="1"/>
        <v>26621191.331273191</v>
      </c>
      <c r="G53" s="13">
        <f>Projection!$AA$13</f>
        <v>26619280.642844804</v>
      </c>
      <c r="H53" s="32">
        <f t="shared" si="2"/>
        <v>0.999928226787276</v>
      </c>
    </row>
    <row r="54" spans="1:8">
      <c r="A54" s="20">
        <v>7</v>
      </c>
      <c r="B54" s="9" t="s">
        <v>234</v>
      </c>
      <c r="C54" s="12">
        <f t="shared" si="3"/>
        <v>5692495.1345754871</v>
      </c>
      <c r="D54" s="12">
        <f t="shared" si="4"/>
        <v>8210237.1915898873</v>
      </c>
      <c r="E54" s="12">
        <f t="shared" si="5"/>
        <v>13627248.928885352</v>
      </c>
      <c r="F54" s="46">
        <f t="shared" si="1"/>
        <v>27529981.255050726</v>
      </c>
      <c r="G54" s="13">
        <f>Projection!$AA$14</f>
        <v>27527645.323422849</v>
      </c>
      <c r="H54" s="32">
        <f t="shared" si="2"/>
        <v>0.99991514953801686</v>
      </c>
    </row>
    <row r="55" spans="1:8">
      <c r="A55" s="20">
        <v>8</v>
      </c>
      <c r="B55" s="9" t="s">
        <v>235</v>
      </c>
      <c r="C55" s="12">
        <f t="shared" si="3"/>
        <v>5891116.0297058839</v>
      </c>
      <c r="D55" s="12">
        <f t="shared" si="4"/>
        <v>8489763.041149538</v>
      </c>
      <c r="E55" s="12">
        <f t="shared" si="5"/>
        <v>14069499.920192076</v>
      </c>
      <c r="F55" s="46">
        <f t="shared" si="1"/>
        <v>28450378.991047498</v>
      </c>
      <c r="G55" s="13">
        <f>Projection!$AA$15</f>
        <v>28447583.787413295</v>
      </c>
      <c r="H55" s="32">
        <f t="shared" si="2"/>
        <v>0.99990175162042372</v>
      </c>
    </row>
    <row r="56" spans="1:8">
      <c r="A56" s="20">
        <v>9</v>
      </c>
      <c r="B56" s="9" t="s">
        <v>236</v>
      </c>
      <c r="C56" s="12">
        <f t="shared" si="3"/>
        <v>6092250.5128560197</v>
      </c>
      <c r="D56" s="12">
        <f t="shared" si="4"/>
        <v>8773180.9139543492</v>
      </c>
      <c r="E56" s="12">
        <f t="shared" si="5"/>
        <v>14517073.723565094</v>
      </c>
      <c r="F56" s="46">
        <f t="shared" si="1"/>
        <v>29382505.150375463</v>
      </c>
      <c r="G56" s="13">
        <f>Projection!$AA$16</f>
        <v>29379215.264469415</v>
      </c>
      <c r="H56" s="32">
        <f t="shared" si="2"/>
        <v>0.99988803249113001</v>
      </c>
    </row>
    <row r="57" spans="1:8">
      <c r="A57" s="20">
        <v>10</v>
      </c>
      <c r="B57" s="9" t="s">
        <v>237</v>
      </c>
      <c r="C57" s="12">
        <f t="shared" si="3"/>
        <v>6295924.2693063235</v>
      </c>
      <c r="D57" s="12">
        <f t="shared" si="4"/>
        <v>9060534.7660641074</v>
      </c>
      <c r="E57" s="12">
        <f t="shared" si="5"/>
        <v>14970022.455981808</v>
      </c>
      <c r="F57" s="46">
        <f t="shared" si="1"/>
        <v>30326481.491352238</v>
      </c>
      <c r="G57" s="13">
        <f>Projection!$AA$17</f>
        <v>30322660.10258111</v>
      </c>
      <c r="H57" s="32">
        <f t="shared" si="2"/>
        <v>0.99987399168702717</v>
      </c>
    </row>
    <row r="58" spans="1:8">
      <c r="A58" s="20">
        <v>11</v>
      </c>
      <c r="B58" s="9" t="s">
        <v>238</v>
      </c>
      <c r="C58" s="12">
        <f t="shared" si="3"/>
        <v>6502163.2233871929</v>
      </c>
      <c r="D58" s="12">
        <f t="shared" si="4"/>
        <v>9351869.0044324379</v>
      </c>
      <c r="E58" s="12">
        <f t="shared" si="5"/>
        <v>15428398.702088725</v>
      </c>
      <c r="F58" s="46">
        <f t="shared" si="1"/>
        <v>31282430.929908358</v>
      </c>
      <c r="G58" s="13">
        <f>Projection!$AA$18</f>
        <v>31278039.778035209</v>
      </c>
      <c r="H58" s="32">
        <f t="shared" si="2"/>
        <v>0.99985962881583634</v>
      </c>
    </row>
    <row r="59" spans="1:8">
      <c r="A59" s="50">
        <v>12</v>
      </c>
      <c r="B59" s="51" t="s">
        <v>239</v>
      </c>
      <c r="C59" s="52">
        <f t="shared" si="3"/>
        <v>6710993.5405929284</v>
      </c>
      <c r="D59" s="52">
        <f t="shared" si="4"/>
        <v>9647228.4912821706</v>
      </c>
      <c r="E59" s="52">
        <f t="shared" si="5"/>
        <v>15892255.518211167</v>
      </c>
      <c r="F59" s="53">
        <f t="shared" si="1"/>
        <v>32250477.550086267</v>
      </c>
      <c r="G59" s="54">
        <f>Projection!$AA$19</f>
        <v>32245476.905461632</v>
      </c>
      <c r="H59" s="55">
        <f t="shared" si="2"/>
        <v>0.99984494354798714</v>
      </c>
    </row>
    <row r="60" spans="1:8">
      <c r="A60" s="20">
        <v>13</v>
      </c>
      <c r="B60" s="9" t="s">
        <v>240</v>
      </c>
      <c r="C60" s="12">
        <f t="shared" si="3"/>
        <v>6922441.6297137756</v>
      </c>
      <c r="D60" s="12">
        <f t="shared" si="4"/>
        <v>9946658.5485216752</v>
      </c>
      <c r="E60" s="12">
        <f t="shared" si="5"/>
        <v>16361646.43639644</v>
      </c>
      <c r="F60" s="46">
        <f t="shared" si="1"/>
        <v>33230746.614631891</v>
      </c>
      <c r="G60" s="13">
        <f>Projection!$AA$20</f>
        <v>33225095.247966267</v>
      </c>
      <c r="H60" s="32">
        <f t="shared" si="2"/>
        <v>0.99982993560959788</v>
      </c>
    </row>
    <row r="61" spans="1:8">
      <c r="A61" s="20">
        <v>14</v>
      </c>
      <c r="B61" s="9" t="s">
        <v>241</v>
      </c>
      <c r="C61" s="12">
        <f t="shared" si="3"/>
        <v>7136534.1449862448</v>
      </c>
      <c r="D61" s="12">
        <f t="shared" si="4"/>
        <v>10250204.96220251</v>
      </c>
      <c r="E61" s="12">
        <f t="shared" si="5"/>
        <v>16836625.468490787</v>
      </c>
      <c r="F61" s="46">
        <f t="shared" si="1"/>
        <v>34223364.575679541</v>
      </c>
      <c r="G61" s="13">
        <f>Projection!$AA$21</f>
        <v>34217019.727351137</v>
      </c>
      <c r="H61" s="32">
        <f t="shared" si="2"/>
        <v>0.99981460477638384</v>
      </c>
    </row>
    <row r="62" spans="1:8">
      <c r="A62" s="20">
        <v>15</v>
      </c>
      <c r="B62" s="9" t="s">
        <v>242</v>
      </c>
      <c r="C62" s="12">
        <f t="shared" si="3"/>
        <v>7353297.9882618515</v>
      </c>
      <c r="D62" s="12">
        <f t="shared" si="4"/>
        <v>10557913.98701877</v>
      </c>
      <c r="E62" s="12">
        <f t="shared" si="5"/>
        <v>17317247.110250346</v>
      </c>
      <c r="F62" s="46">
        <f t="shared" si="1"/>
        <v>35228459.085530967</v>
      </c>
      <c r="G62" s="13">
        <f>Projection!$AA$22</f>
        <v>35221376.434422687</v>
      </c>
      <c r="H62" s="32">
        <f t="shared" si="2"/>
        <v>0.99979895086835668</v>
      </c>
    </row>
    <row r="63" spans="1:8">
      <c r="A63" s="20">
        <v>16</v>
      </c>
      <c r="B63" s="9" t="s">
        <v>243</v>
      </c>
      <c r="C63" s="12">
        <f t="shared" si="3"/>
        <v>7572760.3111944301</v>
      </c>
      <c r="D63" s="12">
        <f t="shared" si="4"/>
        <v>10869832.350848515</v>
      </c>
      <c r="E63" s="12">
        <f t="shared" si="5"/>
        <v>17803566.34548647</v>
      </c>
      <c r="F63" s="46">
        <f t="shared" si="1"/>
        <v>36246159.007529415</v>
      </c>
      <c r="G63" s="13">
        <f>Projection!$AA$23</f>
        <v>36238292.639389008</v>
      </c>
      <c r="H63" s="32">
        <f t="shared" si="2"/>
        <v>0.99978297374519676</v>
      </c>
    </row>
    <row r="64" spans="1:8">
      <c r="A64" s="20">
        <v>17</v>
      </c>
      <c r="B64" s="9" t="s">
        <v>244</v>
      </c>
      <c r="C64" s="12">
        <f t="shared" si="3"/>
        <v>7794948.5174461873</v>
      </c>
      <c r="D64" s="12">
        <f t="shared" si="4"/>
        <v>11186007.259337667</v>
      </c>
      <c r="E64" s="12">
        <f t="shared" si="5"/>
        <v>18295638.650245588</v>
      </c>
      <c r="F64" s="46">
        <f t="shared" si="1"/>
        <v>37276594.427029446</v>
      </c>
      <c r="G64" s="13">
        <f>Projection!$AA$24</f>
        <v>37267896.80234652</v>
      </c>
      <c r="H64" s="32">
        <f t="shared" si="2"/>
        <v>0.99976667330219904</v>
      </c>
    </row>
    <row r="65" spans="1:8">
      <c r="A65" s="20">
        <v>18</v>
      </c>
      <c r="B65" s="9" t="s">
        <v>245</v>
      </c>
      <c r="C65" s="12">
        <f t="shared" si="3"/>
        <v>8019890.2649126388</v>
      </c>
      <c r="D65" s="12">
        <f t="shared" si="4"/>
        <v>11506486.400526749</v>
      </c>
      <c r="E65" s="12">
        <f t="shared" si="5"/>
        <v>18793519.997024003</v>
      </c>
      <c r="F65" s="46">
        <f t="shared" si="1"/>
        <v>38319896.662463397</v>
      </c>
      <c r="G65" s="13">
        <f>Projection!$AA$25</f>
        <v>38310318.583857074</v>
      </c>
      <c r="H65" s="32">
        <f t="shared" si="2"/>
        <v>0.99975004946671209</v>
      </c>
    </row>
    <row r="66" spans="1:8">
      <c r="A66" s="20">
        <v>19</v>
      </c>
      <c r="B66" s="9" t="s">
        <v>246</v>
      </c>
      <c r="C66" s="12">
        <f t="shared" si="3"/>
        <v>8247613.4679666013</v>
      </c>
      <c r="D66" s="12">
        <f t="shared" si="4"/>
        <v>11831317.949520873</v>
      </c>
      <c r="E66" s="12">
        <f t="shared" si="5"/>
        <v>19297266.859017812</v>
      </c>
      <c r="F66" s="46">
        <f t="shared" si="1"/>
        <v>39376198.276505284</v>
      </c>
      <c r="G66" s="13">
        <f>Projection!$AA$26</f>
        <v>39365688.855616234</v>
      </c>
      <c r="H66" s="32">
        <f t="shared" si="2"/>
        <v>0.99973310219500489</v>
      </c>
    </row>
    <row r="67" spans="1:8">
      <c r="A67" s="20">
        <v>20</v>
      </c>
      <c r="B67" s="9" t="s">
        <v>247</v>
      </c>
      <c r="C67" s="12">
        <f t="shared" si="3"/>
        <v>8478146.2997213881</v>
      </c>
      <c r="D67" s="12">
        <f t="shared" si="4"/>
        <v>12160550.573203361</v>
      </c>
      <c r="E67" s="12">
        <f t="shared" si="5"/>
        <v>19806936.214408327</v>
      </c>
      <c r="F67" s="46">
        <f t="shared" si="1"/>
        <v>40445633.087333076</v>
      </c>
      <c r="G67" s="13">
        <f>Projection!$AA$27</f>
        <v>40434139.711213335</v>
      </c>
      <c r="H67" s="32">
        <f t="shared" si="2"/>
        <v>0.99971583146949583</v>
      </c>
    </row>
    <row r="68" spans="1:8">
      <c r="A68" s="20">
        <v>21</v>
      </c>
      <c r="B68" s="9" t="s">
        <v>248</v>
      </c>
      <c r="C68" s="12">
        <f t="shared" si="3"/>
        <v>8711517.1943133809</v>
      </c>
      <c r="D68" s="12">
        <f t="shared" si="4"/>
        <v>12494233.434993394</v>
      </c>
      <c r="E68" s="12">
        <f t="shared" si="5"/>
        <v>20322585.550683204</v>
      </c>
      <c r="F68" s="46">
        <f t="shared" si="1"/>
        <v>41528336.179989979</v>
      </c>
      <c r="G68" s="13">
        <f>Projection!$AA$28</f>
        <v>41515804.47698424</v>
      </c>
      <c r="H68" s="32">
        <f t="shared" si="2"/>
        <v>0.99969823729630236</v>
      </c>
    </row>
    <row r="69" spans="1:8">
      <c r="A69" s="20">
        <v>22</v>
      </c>
      <c r="B69" s="9" t="s">
        <v>249</v>
      </c>
      <c r="C69" s="12">
        <f t="shared" si="3"/>
        <v>8947754.8492041267</v>
      </c>
      <c r="D69" s="12">
        <f t="shared" si="4"/>
        <v>12832416.199648106</v>
      </c>
      <c r="E69" s="12">
        <f t="shared" si="5"/>
        <v>20844272.868993647</v>
      </c>
      <c r="F69" s="46">
        <f t="shared" si="1"/>
        <v>42624443.917845882</v>
      </c>
      <c r="G69" s="13">
        <f>Projection!$AA$29</f>
        <v>42610817.722957574</v>
      </c>
      <c r="H69" s="32">
        <f t="shared" si="2"/>
        <v>0.99968031970306592</v>
      </c>
    </row>
    <row r="70" spans="1:8">
      <c r="A70" s="20">
        <v>23</v>
      </c>
      <c r="B70" s="9" t="s">
        <v>250</v>
      </c>
      <c r="C70" s="12">
        <f t="shared" si="3"/>
        <v>9186888.2275021356</v>
      </c>
      <c r="D70" s="12">
        <f t="shared" si="4"/>
        <v>13175149.038109513</v>
      </c>
      <c r="E70" s="12">
        <f t="shared" si="5"/>
        <v>21372056.688547924</v>
      </c>
      <c r="F70" s="46">
        <f t="shared" si="1"/>
        <v>43734093.954159573</v>
      </c>
      <c r="G70" s="13">
        <f>Projection!$AA$30</f>
        <v>43719315.273895159</v>
      </c>
      <c r="H70" s="32">
        <f t="shared" si="2"/>
        <v>0.99966207873701685</v>
      </c>
    </row>
    <row r="71" spans="1:8">
      <c r="A71" s="50">
        <v>24</v>
      </c>
      <c r="B71" s="51" t="s">
        <v>251</v>
      </c>
      <c r="C71" s="52">
        <f t="shared" si="3"/>
        <v>9428946.5603045393</v>
      </c>
      <c r="D71" s="52">
        <f t="shared" si="4"/>
        <v>13522482.632396678</v>
      </c>
      <c r="E71" s="52">
        <f t="shared" si="5"/>
        <v>21905996.051041547</v>
      </c>
      <c r="F71" s="53">
        <f t="shared" si="1"/>
        <v>44857425.243742764</v>
      </c>
      <c r="G71" s="54">
        <f>Projection!$AA$31</f>
        <v>44841434.220427461</v>
      </c>
      <c r="H71" s="55">
        <f t="shared" si="2"/>
        <v>0.99964351446324862</v>
      </c>
    </row>
    <row r="72" spans="1:8">
      <c r="A72" s="20">
        <v>25</v>
      </c>
      <c r="B72" s="9" t="s">
        <v>252</v>
      </c>
      <c r="C72" s="12">
        <f t="shared" si="3"/>
        <v>9673959.3490587734</v>
      </c>
      <c r="D72" s="12">
        <f t="shared" si="4"/>
        <v>13874468.180543553</v>
      </c>
      <c r="E72" s="12">
        <f t="shared" si="5"/>
        <v>22446150.52512436</v>
      </c>
      <c r="F72" s="46">
        <f t="shared" si="1"/>
        <v>45994578.05472669</v>
      </c>
      <c r="G72" s="13">
        <f>Projection!$AA$32</f>
        <v>45977312.930284888</v>
      </c>
      <c r="H72" s="32">
        <f t="shared" si="2"/>
        <v>0.99962462696317689</v>
      </c>
    </row>
    <row r="73" spans="1:8">
      <c r="A73" s="20">
        <v>26</v>
      </c>
      <c r="B73" s="9" t="s">
        <v>253</v>
      </c>
      <c r="C73" s="12">
        <f t="shared" si="3"/>
        <v>9921956.367944466</v>
      </c>
      <c r="D73" s="12">
        <f t="shared" si="4"/>
        <v>14231157.401582889</v>
      </c>
      <c r="E73" s="12">
        <f t="shared" si="5"/>
        <v>22992580.210904889</v>
      </c>
      <c r="F73" s="46">
        <f t="shared" si="1"/>
        <v>47145693.980432242</v>
      </c>
      <c r="G73" s="13">
        <f>Projection!$AA$33</f>
        <v>47127091.059625715</v>
      </c>
      <c r="H73" s="32">
        <f t="shared" si="2"/>
        <v>0.9996054163331598</v>
      </c>
    </row>
    <row r="74" spans="1:8">
      <c r="A74" s="20">
        <v>27</v>
      </c>
      <c r="B74" s="9" t="s">
        <v>254</v>
      </c>
      <c r="C74" s="12">
        <f t="shared" si="3"/>
        <v>10172967.666275678</v>
      </c>
      <c r="D74" s="12">
        <f t="shared" si="4"/>
        <v>14592602.540576641</v>
      </c>
      <c r="E74" s="12">
        <f t="shared" si="5"/>
        <v>23545345.744492229</v>
      </c>
      <c r="F74" s="46">
        <f t="shared" si="1"/>
        <v>48310915.95134455</v>
      </c>
      <c r="G74" s="13">
        <f>Projection!$AA$34</f>
        <v>48290909.56446144</v>
      </c>
      <c r="H74" s="32">
        <f t="shared" si="2"/>
        <v>0.99958588268325821</v>
      </c>
    </row>
    <row r="75" spans="1:8">
      <c r="A75" s="20">
        <v>28</v>
      </c>
      <c r="B75" s="9" t="s">
        <v>255</v>
      </c>
      <c r="C75" s="12">
        <f t="shared" si="3"/>
        <v>10427023.57092369</v>
      </c>
      <c r="D75" s="12">
        <f t="shared" si="4"/>
        <v>14958856.373693284</v>
      </c>
      <c r="E75" s="12">
        <f t="shared" si="5"/>
        <v>24104508.302575793</v>
      </c>
      <c r="F75" s="46">
        <f t="shared" si="1"/>
        <v>49490388.24719277</v>
      </c>
      <c r="G75" s="13">
        <f>Projection!$AA$35</f>
        <v>49468910.712180428</v>
      </c>
      <c r="H75" s="32">
        <f t="shared" si="2"/>
        <v>0.99956602613612433</v>
      </c>
    </row>
    <row r="76" spans="1:8">
      <c r="A76" s="20">
        <v>29</v>
      </c>
      <c r="B76" s="9" t="s">
        <v>256</v>
      </c>
      <c r="C76" s="12">
        <f t="shared" si="3"/>
        <v>10684154.688760491</v>
      </c>
      <c r="D76" s="12">
        <f t="shared" si="4"/>
        <v>15329972.213332491</v>
      </c>
      <c r="E76" s="12">
        <f t="shared" si="5"/>
        <v>24670129.60704321</v>
      </c>
      <c r="F76" s="46">
        <f t="shared" si="1"/>
        <v>50684256.509136193</v>
      </c>
      <c r="G76" s="13">
        <f>Projection!$AA$36</f>
        <v>50661238.093170643</v>
      </c>
      <c r="H76" s="32">
        <f t="shared" si="2"/>
        <v>0.99954584682599812</v>
      </c>
    </row>
    <row r="77" spans="1:8">
      <c r="A77" s="20">
        <v>30</v>
      </c>
      <c r="B77" s="9" t="s">
        <v>257</v>
      </c>
      <c r="C77" s="12">
        <f t="shared" si="3"/>
        <v>10944391.909123154</v>
      </c>
      <c r="D77" s="12">
        <f t="shared" si="4"/>
        <v>15706003.913297571</v>
      </c>
      <c r="E77" s="12">
        <f t="shared" si="5"/>
        <v>25242271.929636724</v>
      </c>
      <c r="F77" s="46">
        <f t="shared" si="1"/>
        <v>51892667.752057448</v>
      </c>
      <c r="G77" s="13">
        <f>Projection!$AA$37</f>
        <v>51868036.632542334</v>
      </c>
      <c r="H77" s="32">
        <f t="shared" si="2"/>
        <v>0.99952534489780331</v>
      </c>
    </row>
    <row r="78" spans="1:8">
      <c r="A78" s="20">
        <v>31</v>
      </c>
      <c r="B78" s="9" t="s">
        <v>258</v>
      </c>
      <c r="C78" s="12">
        <f t="shared" si="3"/>
        <v>11207766.406299265</v>
      </c>
      <c r="D78" s="12">
        <f t="shared" si="4"/>
        <v>16087005.874016125</v>
      </c>
      <c r="E78" s="12">
        <f t="shared" si="5"/>
        <v>25820998.096648365</v>
      </c>
      <c r="F78" s="46">
        <f t="shared" si="1"/>
        <v>53115770.376963757</v>
      </c>
      <c r="G78" s="13">
        <f>Projection!$AA$38</f>
        <v>53089452.601951458</v>
      </c>
      <c r="H78" s="32">
        <f t="shared" si="2"/>
        <v>0.99950452050632943</v>
      </c>
    </row>
    <row r="79" spans="1:8">
      <c r="A79" s="20">
        <v>32</v>
      </c>
      <c r="B79" s="9" t="s">
        <v>259</v>
      </c>
      <c r="C79" s="12">
        <f t="shared" si="3"/>
        <v>11474309.642033581</v>
      </c>
      <c r="D79" s="12">
        <f t="shared" si="4"/>
        <v>16473033.047809349</v>
      </c>
      <c r="E79" s="12">
        <f t="shared" si="5"/>
        <v>26406371.493654244</v>
      </c>
      <c r="F79" s="46">
        <f t="shared" si="1"/>
        <v>54353714.183497176</v>
      </c>
      <c r="G79" s="13">
        <f>Projection!$AA$39</f>
        <v>54325633.631524734</v>
      </c>
      <c r="H79" s="32">
        <f t="shared" si="2"/>
        <v>0.99948337381549235</v>
      </c>
    </row>
    <row r="80" spans="1:8">
      <c r="A80" s="20">
        <v>33</v>
      </c>
      <c r="B80" s="9" t="s">
        <v>260</v>
      </c>
      <c r="C80" s="12">
        <f t="shared" si="3"/>
        <v>11744053.368056104</v>
      </c>
      <c r="D80" s="12">
        <f t="shared" si="4"/>
        <v>16864140.944210429</v>
      </c>
      <c r="E80" s="12">
        <f t="shared" si="5"/>
        <v>26998456.070288286</v>
      </c>
      <c r="F80" s="46">
        <f t="shared" si="1"/>
        <v>55606650.382554814</v>
      </c>
      <c r="G80" s="13">
        <f>Projection!$AA$40</f>
        <v>55576728.721887253</v>
      </c>
      <c r="H80" s="32">
        <f t="shared" si="2"/>
        <v>0.99946190499766285</v>
      </c>
    </row>
    <row r="81" spans="1:10">
      <c r="A81" s="20">
        <v>34</v>
      </c>
      <c r="B81" s="9" t="s">
        <v>261</v>
      </c>
      <c r="C81" s="12">
        <f t="shared" si="3"/>
        <v>12017029.62863175</v>
      </c>
      <c r="D81" s="12">
        <f t="shared" si="4"/>
        <v>17260385.63533248</v>
      </c>
      <c r="E81" s="12">
        <f t="shared" si="5"/>
        <v>27597316.345055707</v>
      </c>
      <c r="F81" s="46">
        <f t="shared" si="1"/>
        <v>56874731.609019935</v>
      </c>
      <c r="G81" s="13">
        <f>Projection!$AA$41</f>
        <v>56842888.256293289</v>
      </c>
      <c r="H81" s="32">
        <f t="shared" si="2"/>
        <v>0.99944011423305612</v>
      </c>
    </row>
    <row r="82" spans="1:10">
      <c r="A82" s="20">
        <v>35</v>
      </c>
      <c r="B82" s="9" t="s">
        <v>262</v>
      </c>
      <c r="C82" s="12">
        <f t="shared" si="3"/>
        <v>12293270.763131782</v>
      </c>
      <c r="D82" s="12">
        <f t="shared" si="4"/>
        <v>17661823.761286456</v>
      </c>
      <c r="E82" s="12">
        <f t="shared" si="5"/>
        <v>28203017.410186578</v>
      </c>
      <c r="F82" s="46">
        <f t="shared" si="1"/>
        <v>58158111.934604816</v>
      </c>
      <c r="G82" s="13">
        <f>Projection!$AA$42</f>
        <v>58124264.012861438</v>
      </c>
      <c r="H82" s="32">
        <f t="shared" si="2"/>
        <v>0.99941800170917794</v>
      </c>
    </row>
    <row r="83" spans="1:10">
      <c r="A83" s="50">
        <v>36</v>
      </c>
      <c r="B83" s="51" t="s">
        <v>263</v>
      </c>
      <c r="C83" s="52">
        <f t="shared" si="3"/>
        <v>12572809.408627192</v>
      </c>
      <c r="D83" s="52">
        <f t="shared" si="4"/>
        <v>18068512.535649523</v>
      </c>
      <c r="E83" s="52">
        <f t="shared" si="5"/>
        <v>28815624.936529808</v>
      </c>
      <c r="F83" s="53">
        <f t="shared" si="1"/>
        <v>59456946.880806521</v>
      </c>
      <c r="G83" s="54">
        <f>Projection!$AA$43</f>
        <v>59421009.176914826</v>
      </c>
      <c r="H83" s="55">
        <f t="shared" si="2"/>
        <v>0.99939556762031967</v>
      </c>
    </row>
    <row r="85" spans="1:10" ht="30" customHeight="1">
      <c r="A85" s="33" t="s">
        <v>264</v>
      </c>
      <c r="B85" s="33" t="s">
        <v>64</v>
      </c>
      <c r="C85" s="33" t="s">
        <v>184</v>
      </c>
      <c r="D85" s="33" t="s">
        <v>185</v>
      </c>
      <c r="E85" s="33" t="s">
        <v>186</v>
      </c>
      <c r="F85" s="33" t="s">
        <v>265</v>
      </c>
    </row>
    <row r="86" spans="1:10">
      <c r="A86" s="9" t="s">
        <v>266</v>
      </c>
      <c r="B86" s="22" t="s">
        <v>82</v>
      </c>
      <c r="C86" s="12">
        <f>C59*$H$59</f>
        <v>6709952.9577450426</v>
      </c>
      <c r="D86" s="12">
        <f>D59*$H$59</f>
        <v>9645732.6262605544</v>
      </c>
      <c r="E86" s="12">
        <f>E59*$H$59</f>
        <v>15889791.321456032</v>
      </c>
      <c r="F86" s="46">
        <f>SUM(C86:E86)</f>
        <v>32245476.905461632</v>
      </c>
    </row>
    <row r="87" spans="1:10">
      <c r="A87" s="9" t="s">
        <v>267</v>
      </c>
      <c r="B87" s="22" t="s">
        <v>82</v>
      </c>
      <c r="C87" s="12">
        <f>C71*$H$71</f>
        <v>9425585.2772289887</v>
      </c>
      <c r="D87" s="12">
        <f>D71*$H$71</f>
        <v>13517662.062917257</v>
      </c>
      <c r="E87" s="12">
        <f>E71*$H$71</f>
        <v>21898186.880281217</v>
      </c>
      <c r="F87" s="46">
        <f>SUM(C87:E87)</f>
        <v>44841434.220427461</v>
      </c>
    </row>
    <row r="88" spans="1:10">
      <c r="A88" s="9" t="s">
        <v>268</v>
      </c>
      <c r="B88" s="22" t="s">
        <v>82</v>
      </c>
      <c r="C88" s="12">
        <f>C83*$H$83</f>
        <v>12565209.995517068</v>
      </c>
      <c r="D88" s="12">
        <f>D83*$H$83</f>
        <v>18057591.341620315</v>
      </c>
      <c r="E88" s="12">
        <f>E83*$H$83</f>
        <v>28798207.839777444</v>
      </c>
      <c r="F88" s="46">
        <f>SUM(C88:E88)</f>
        <v>59421009.176914826</v>
      </c>
    </row>
    <row r="89" spans="1:10">
      <c r="A89" s="9" t="s">
        <v>269</v>
      </c>
      <c r="B89" s="22" t="s">
        <v>86</v>
      </c>
      <c r="C89" s="18">
        <f>C88/$F$88</f>
        <v>0.21146073029669574</v>
      </c>
      <c r="D89" s="18">
        <f>D88/$F$88</f>
        <v>0.30389237058995833</v>
      </c>
      <c r="E89" s="18">
        <f>E88/$F$88</f>
        <v>0.48464689911334596</v>
      </c>
      <c r="F89" s="27">
        <f>SUM(C89:E89)</f>
        <v>1</v>
      </c>
    </row>
    <row r="90" spans="1:10">
      <c r="A90" s="9" t="s">
        <v>270</v>
      </c>
      <c r="B90" s="22" t="s">
        <v>86</v>
      </c>
      <c r="C90" s="18">
        <f>(C88/C8)^(1/3)-1</f>
        <v>0.42194290501162679</v>
      </c>
      <c r="D90" s="18">
        <f>(D88/D8)^(1/3)-1</f>
        <v>0.41609324284863791</v>
      </c>
      <c r="E90" s="18">
        <f>(E88/E8)^(1/3)-1</f>
        <v>0.39203103726333133</v>
      </c>
      <c r="F90" s="27">
        <f>(F88/F8)^(1/3)-1</f>
        <v>0.40541369644077685</v>
      </c>
    </row>
    <row r="91" spans="1:10">
      <c r="A91" s="9" t="s">
        <v>271</v>
      </c>
      <c r="B91" s="22" t="s">
        <v>86</v>
      </c>
      <c r="F91" s="27">
        <f>F83/G83-1</f>
        <v>6.0479793913792435E-4</v>
      </c>
    </row>
    <row r="92" spans="1:10">
      <c r="A92" s="9" t="s">
        <v>272</v>
      </c>
      <c r="F92" s="28" t="str">
        <f>IF(ABS(F8-Hypothèses!$B$6)&lt;1,"OK","KO")</f>
        <v>OK</v>
      </c>
    </row>
    <row r="95" spans="1:10" ht="21.75" customHeight="1">
      <c r="A95" s="14" t="s">
        <v>273</v>
      </c>
      <c r="B95" s="15"/>
      <c r="C95" s="15"/>
      <c r="D95" s="15"/>
      <c r="E95" s="15"/>
      <c r="F95" s="15"/>
      <c r="G95" s="15"/>
      <c r="H95" s="15"/>
      <c r="I95" s="15"/>
      <c r="J95" s="15"/>
    </row>
    <row r="96" spans="1:10" ht="30" customHeight="1">
      <c r="A96" s="33" t="s">
        <v>80</v>
      </c>
      <c r="B96" s="33" t="s">
        <v>64</v>
      </c>
      <c r="C96" s="33" t="s">
        <v>274</v>
      </c>
      <c r="D96" s="33" t="s">
        <v>275</v>
      </c>
      <c r="E96" s="33" t="s">
        <v>276</v>
      </c>
      <c r="F96" s="33" t="s">
        <v>277</v>
      </c>
      <c r="G96" s="33" t="s">
        <v>278</v>
      </c>
      <c r="H96" s="33" t="s">
        <v>279</v>
      </c>
      <c r="I96" s="33" t="s">
        <v>187</v>
      </c>
    </row>
    <row r="97" spans="1:9">
      <c r="A97" s="9" t="s">
        <v>188</v>
      </c>
      <c r="B97" s="22" t="s">
        <v>82</v>
      </c>
      <c r="C97" s="13">
        <f>SUMPRODUCT(('Données ARR'!$W$4:$AG$4="France")*'Données ARR'!$W$20:$AG$20)*Hypothèses!$B$6/'Données ARR'!$B$42</f>
        <v>4005084.85</v>
      </c>
      <c r="D97" s="13">
        <f>SUMPRODUCT(('Données ARR'!$W$4:$AG$4="Royaume-Uni")*'Données ARR'!$W$20:$AG$20)*Hypothèses!$B$6/'Données ARR'!$B$42</f>
        <v>5109523.5999999996</v>
      </c>
      <c r="E97" s="13">
        <f>SUMPRODUCT(('Données ARR'!$W$4:$AG$4="États-Unis")*'Données ARR'!$W$20:$AG$20)*Hypothèses!$B$6/'Données ARR'!$B$42</f>
        <v>3852255.8400000003</v>
      </c>
      <c r="F97" s="13">
        <f>SUMPRODUCT(('Données ARR'!$W$4:$AG$4="Allemagne")*'Données ARR'!$W$20:$AG$20)*Hypothèses!$B$6/'Données ARR'!$B$42</f>
        <v>1971940.98</v>
      </c>
      <c r="G97" s="13">
        <f>SUMPRODUCT(('Données ARR'!$W$4:$AG$4="Reste Europe")*'Données ARR'!$W$20:$AG$20)*Hypothèses!$B$6/'Données ARR'!$B$42</f>
        <v>3328719.41</v>
      </c>
      <c r="H97" s="13">
        <f>SUMPRODUCT(('Données ARR'!$W$4:$AG$4="Reste du monde")*'Données ARR'!$W$20:$AG$20)*Hypothèses!$B$6/'Données ARR'!$B$42</f>
        <v>3138078.8899999997</v>
      </c>
      <c r="I97" s="46">
        <f t="shared" ref="I97:I110" si="6">SUM(C97:H97)</f>
        <v>21405603.57</v>
      </c>
    </row>
    <row r="98" spans="1:9">
      <c r="A98" s="9" t="s">
        <v>189</v>
      </c>
      <c r="B98" s="22" t="s">
        <v>86</v>
      </c>
      <c r="C98" s="18">
        <f>C97/Hypothèses!$B$6</f>
        <v>0.1871045043490876</v>
      </c>
      <c r="D98" s="18">
        <f>D97/Hypothèses!$B$6</f>
        <v>0.23870028137805011</v>
      </c>
      <c r="E98" s="18">
        <f>E97/Hypothèses!$B$6</f>
        <v>0.17996483134909816</v>
      </c>
      <c r="F98" s="18">
        <f>F97/Hypothèses!$B$6</f>
        <v>9.212265244981116E-2</v>
      </c>
      <c r="G98" s="18">
        <f>G97/Hypothèses!$B$6</f>
        <v>0.15550691649522413</v>
      </c>
      <c r="H98" s="18">
        <f>H97/Hypothèses!$B$6</f>
        <v>0.14660081304439404</v>
      </c>
      <c r="I98" s="27">
        <f t="shared" si="6"/>
        <v>0.99999999906566517</v>
      </c>
    </row>
    <row r="99" spans="1:9">
      <c r="A99" s="9" t="s">
        <v>190</v>
      </c>
      <c r="B99" s="22" t="s">
        <v>82</v>
      </c>
      <c r="C99" s="13">
        <f>SUMIFS('Données segments'!$G$26:$G$80,'Données segments'!$H$26:$H$80,"France",'Données segments'!$B$26:$B$80,"new")</f>
        <v>1775745.44</v>
      </c>
      <c r="D99" s="13">
        <f>SUMIFS('Données segments'!$G$26:$G$80,'Données segments'!$H$26:$H$80,"Royaume-Uni",'Données segments'!$B$26:$B$80,"new")</f>
        <v>2075040.21</v>
      </c>
      <c r="E99" s="13">
        <f>SUMIFS('Données segments'!$G$26:$G$80,'Données segments'!$H$26:$H$80,"États-Unis",'Données segments'!$B$26:$B$80,"new")</f>
        <v>1429006.9699999997</v>
      </c>
      <c r="F99" s="13">
        <f>SUMIFS('Données segments'!$G$26:$G$80,'Données segments'!$H$26:$H$80,"Allemagne",'Données segments'!$B$26:$B$80,"new")</f>
        <v>577128.32999999996</v>
      </c>
      <c r="G99" s="13">
        <f>SUMIFS('Données segments'!$G$26:$G$80,'Données segments'!$H$26:$H$80,"Reste Europe",'Données segments'!$B$26:$B$80,"new")</f>
        <v>1300586.5299999998</v>
      </c>
      <c r="H99" s="13">
        <f>SUMIFS('Données segments'!$G$26:$G$80,'Données segments'!$H$26:$H$80,"Reste du monde",'Données segments'!$B$26:$B$80,"new")</f>
        <v>1433235.95</v>
      </c>
      <c r="I99" s="46">
        <f t="shared" si="6"/>
        <v>8590743.4299999978</v>
      </c>
    </row>
    <row r="100" spans="1:9">
      <c r="A100" s="9" t="s">
        <v>191</v>
      </c>
      <c r="B100" s="22" t="s">
        <v>82</v>
      </c>
      <c r="C100" s="13">
        <f>SUMIFS('Données segments'!$G$26:$G$80,'Données segments'!$H$26:$H$80,"France",'Données segments'!$B$26:$B$80,"expansion")</f>
        <v>487402.38</v>
      </c>
      <c r="D100" s="13">
        <f>SUMIFS('Données segments'!$G$26:$G$80,'Données segments'!$H$26:$H$80,"Royaume-Uni",'Données segments'!$B$26:$B$80,"expansion")</f>
        <v>650039.81999999995</v>
      </c>
      <c r="E100" s="13">
        <f>SUMIFS('Données segments'!$G$26:$G$80,'Données segments'!$H$26:$H$80,"États-Unis",'Données segments'!$B$26:$B$80,"expansion")</f>
        <v>485340.73</v>
      </c>
      <c r="F100" s="13">
        <f>SUMIFS('Données segments'!$G$26:$G$80,'Données segments'!$H$26:$H$80,"Allemagne",'Données segments'!$B$26:$B$80,"expansion")</f>
        <v>392348.88</v>
      </c>
      <c r="G100" s="13">
        <f>SUMIFS('Données segments'!$G$26:$G$80,'Données segments'!$H$26:$H$80,"Reste Europe",'Données segments'!$B$26:$B$80,"expansion")</f>
        <v>444123.85</v>
      </c>
      <c r="H100" s="13">
        <f>SUMIFS('Données segments'!$G$26:$G$80,'Données segments'!$H$26:$H$80,"Reste du monde",'Données segments'!$B$26:$B$80,"expansion")</f>
        <v>277221.28000000003</v>
      </c>
      <c r="I100" s="46">
        <f t="shared" si="6"/>
        <v>2736476.9400000004</v>
      </c>
    </row>
    <row r="101" spans="1:9">
      <c r="A101" s="9" t="s">
        <v>192</v>
      </c>
      <c r="B101" s="22" t="s">
        <v>82</v>
      </c>
      <c r="C101" s="13">
        <f>SUMIFS('Données segments'!$G$26:$G$80,'Données segments'!$H$26:$H$80,"France",'Données segments'!$B$26:$B$80,"reactivated")</f>
        <v>56445</v>
      </c>
      <c r="D101" s="13">
        <f>SUMIFS('Données segments'!$G$26:$G$80,'Données segments'!$H$26:$H$80,"Royaume-Uni",'Données segments'!$B$26:$B$80,"reactivated")</f>
        <v>118308.29999999999</v>
      </c>
      <c r="E101" s="13">
        <f>SUMIFS('Données segments'!$G$26:$G$80,'Données segments'!$H$26:$H$80,"États-Unis",'Données segments'!$B$26:$B$80,"reactivated")</f>
        <v>114087.76999999999</v>
      </c>
      <c r="F101" s="13">
        <f>SUMIFS('Données segments'!$G$26:$G$80,'Données segments'!$H$26:$H$80,"Allemagne",'Données segments'!$B$26:$B$80,"reactivated")</f>
        <v>38004</v>
      </c>
      <c r="G101" s="13">
        <f>SUMIFS('Données segments'!$G$26:$G$80,'Données segments'!$H$26:$H$80,"Reste Europe",'Données segments'!$B$26:$B$80,"reactivated")</f>
        <v>70684</v>
      </c>
      <c r="H101" s="13">
        <f>SUMIFS('Données segments'!$G$26:$G$80,'Données segments'!$H$26:$H$80,"Reste du monde",'Données segments'!$B$26:$B$80,"reactivated")</f>
        <v>101243.63</v>
      </c>
      <c r="I101" s="46">
        <f t="shared" si="6"/>
        <v>498772.69999999995</v>
      </c>
    </row>
    <row r="102" spans="1:9">
      <c r="A102" s="9" t="s">
        <v>193</v>
      </c>
      <c r="B102" s="22" t="s">
        <v>82</v>
      </c>
      <c r="C102" s="13">
        <f>SUMIFS('Données segments'!$G$26:$G$80,'Données segments'!$H$26:$H$80,"France",'Données segments'!$B$26:$B$80,"contraction")</f>
        <v>-163705.97</v>
      </c>
      <c r="D102" s="13">
        <f>SUMIFS('Données segments'!$G$26:$G$80,'Données segments'!$H$26:$H$80,"Royaume-Uni",'Données segments'!$B$26:$B$80,"contraction")</f>
        <v>-226183.61</v>
      </c>
      <c r="E102" s="13">
        <f>SUMIFS('Données segments'!$G$26:$G$80,'Données segments'!$H$26:$H$80,"États-Unis",'Données segments'!$B$26:$B$80,"contraction")</f>
        <v>-133661.82</v>
      </c>
      <c r="F102" s="13">
        <f>SUMIFS('Données segments'!$G$26:$G$80,'Données segments'!$H$26:$H$80,"Allemagne",'Données segments'!$B$26:$B$80,"contraction")</f>
        <v>-122448.88</v>
      </c>
      <c r="G102" s="13">
        <f>SUMIFS('Données segments'!$G$26:$G$80,'Données segments'!$H$26:$H$80,"Reste Europe",'Données segments'!$B$26:$B$80,"contraction")</f>
        <v>-178322.92</v>
      </c>
      <c r="H102" s="13">
        <f>SUMIFS('Données segments'!$G$26:$G$80,'Données segments'!$H$26:$H$80,"Reste du monde",'Données segments'!$B$26:$B$80,"contraction")</f>
        <v>-113802.48000000001</v>
      </c>
      <c r="I102" s="46">
        <f t="shared" si="6"/>
        <v>-938125.68</v>
      </c>
    </row>
    <row r="103" spans="1:9">
      <c r="A103" s="9" t="s">
        <v>194</v>
      </c>
      <c r="B103" s="22" t="s">
        <v>82</v>
      </c>
      <c r="C103" s="13">
        <f>SUMIFS('Données segments'!$G$26:$G$80,'Données segments'!$H$26:$H$80,"France",'Données segments'!$B$26:$B$80,"lost")</f>
        <v>-263389.20999999996</v>
      </c>
      <c r="D103" s="13">
        <f>SUMIFS('Données segments'!$G$26:$G$80,'Données segments'!$H$26:$H$80,"Royaume-Uni",'Données segments'!$B$26:$B$80,"lost")</f>
        <v>-267235.33999999997</v>
      </c>
      <c r="E103" s="13">
        <f>SUMIFS('Données segments'!$G$26:$G$80,'Données segments'!$H$26:$H$80,"États-Unis",'Données segments'!$B$26:$B$80,"lost")</f>
        <v>-313151.25</v>
      </c>
      <c r="F103" s="13">
        <f>SUMIFS('Données segments'!$G$26:$G$80,'Données segments'!$H$26:$H$80,"Allemagne",'Données segments'!$B$26:$B$80,"lost")</f>
        <v>-87909.25</v>
      </c>
      <c r="G103" s="13">
        <f>SUMIFS('Données segments'!$G$26:$G$80,'Données segments'!$H$26:$H$80,"Reste Europe",'Données segments'!$B$26:$B$80,"lost")</f>
        <v>-165188</v>
      </c>
      <c r="H103" s="13">
        <f>SUMIFS('Données segments'!$G$26:$G$80,'Données segments'!$H$26:$H$80,"Reste du monde",'Données segments'!$B$26:$B$80,"lost")</f>
        <v>-199928.87</v>
      </c>
      <c r="I103" s="46">
        <f t="shared" si="6"/>
        <v>-1296801.92</v>
      </c>
    </row>
    <row r="104" spans="1:9">
      <c r="A104" s="9" t="s">
        <v>195</v>
      </c>
      <c r="B104" s="22" t="s">
        <v>82</v>
      </c>
      <c r="C104" s="13">
        <f>SUMPRODUCT(('Données ARR'!$W$4:$AG$4="France")*'Données ARR'!$W$6:$AG$17)</f>
        <v>34894699.530000001</v>
      </c>
      <c r="D104" s="13">
        <f>SUMPRODUCT(('Données ARR'!$W$4:$AG$4="Royaume-Uni")*'Données ARR'!$W$6:$AG$17)</f>
        <v>42348353.230000004</v>
      </c>
      <c r="E104" s="13">
        <f>SUMPRODUCT(('Données ARR'!$W$4:$AG$4="États-Unis")*'Données ARR'!$W$6:$AG$17)</f>
        <v>36125401.039999999</v>
      </c>
      <c r="F104" s="13">
        <f>SUMPRODUCT(('Données ARR'!$W$4:$AG$4="Allemagne")*'Données ARR'!$W$6:$AG$17)</f>
        <v>17972753.210000005</v>
      </c>
      <c r="G104" s="13">
        <f>SUMPRODUCT(('Données ARR'!$W$4:$AG$4="Reste Europe")*'Données ARR'!$W$6:$AG$17)</f>
        <v>29460755.150000002</v>
      </c>
      <c r="H104" s="13">
        <f>SUMPRODUCT(('Données ARR'!$W$4:$AG$4="Reste du monde")*'Données ARR'!$W$6:$AG$17)</f>
        <v>25546179.210000008</v>
      </c>
      <c r="I104" s="46">
        <f t="shared" si="6"/>
        <v>186348141.37000003</v>
      </c>
    </row>
    <row r="105" spans="1:9">
      <c r="A105" s="9" t="s">
        <v>196</v>
      </c>
      <c r="B105" s="22" t="s">
        <v>82</v>
      </c>
      <c r="C105" s="12">
        <f t="shared" ref="C105:H105" si="7">C99*$I$129</f>
        <v>1742766.6423280605</v>
      </c>
      <c r="D105" s="12">
        <f t="shared" si="7"/>
        <v>2036502.968284358</v>
      </c>
      <c r="E105" s="12">
        <f t="shared" si="7"/>
        <v>1402467.7315067721</v>
      </c>
      <c r="F105" s="12">
        <f t="shared" si="7"/>
        <v>566410.01531531499</v>
      </c>
      <c r="G105" s="12">
        <f t="shared" si="7"/>
        <v>1276432.2908497532</v>
      </c>
      <c r="H105" s="12">
        <f t="shared" si="7"/>
        <v>1406618.1717157431</v>
      </c>
      <c r="I105" s="46">
        <f t="shared" si="6"/>
        <v>8431197.8200000022</v>
      </c>
    </row>
    <row r="106" spans="1:9">
      <c r="A106" s="9" t="s">
        <v>197</v>
      </c>
      <c r="B106" s="22" t="s">
        <v>82</v>
      </c>
      <c r="C106" s="12">
        <f t="shared" ref="C106:H106" si="8">C100*$I$130</f>
        <v>589812.77037149761</v>
      </c>
      <c r="D106" s="12">
        <f t="shared" si="8"/>
        <v>786622.7224536523</v>
      </c>
      <c r="E106" s="12">
        <f t="shared" si="8"/>
        <v>587317.93746149738</v>
      </c>
      <c r="F106" s="12">
        <f t="shared" si="8"/>
        <v>474787.13555923599</v>
      </c>
      <c r="G106" s="12">
        <f t="shared" si="8"/>
        <v>537440.78630997951</v>
      </c>
      <c r="H106" s="12">
        <f t="shared" si="8"/>
        <v>335469.53784413741</v>
      </c>
      <c r="I106" s="46">
        <f t="shared" si="6"/>
        <v>3311450.89</v>
      </c>
    </row>
    <row r="107" spans="1:9">
      <c r="A107" s="9" t="s">
        <v>198</v>
      </c>
      <c r="B107" s="22" t="s">
        <v>82</v>
      </c>
      <c r="C107" s="12">
        <f t="shared" ref="C107:H107" si="9">C101*$I$131</f>
        <v>94769.902990881441</v>
      </c>
      <c r="D107" s="12">
        <f t="shared" si="9"/>
        <v>198637.0114982035</v>
      </c>
      <c r="E107" s="12">
        <f t="shared" si="9"/>
        <v>191550.83524397187</v>
      </c>
      <c r="F107" s="12">
        <f t="shared" si="9"/>
        <v>63807.87303154324</v>
      </c>
      <c r="G107" s="12">
        <f t="shared" si="9"/>
        <v>118676.86815497321</v>
      </c>
      <c r="H107" s="12">
        <f t="shared" si="9"/>
        <v>169985.80908042684</v>
      </c>
      <c r="I107" s="46">
        <f t="shared" si="6"/>
        <v>837428.30000000016</v>
      </c>
    </row>
    <row r="108" spans="1:9">
      <c r="A108" s="9" t="s">
        <v>199</v>
      </c>
      <c r="B108" s="22" t="s">
        <v>82</v>
      </c>
      <c r="C108" s="12">
        <f t="shared" ref="C108:H108" si="10">C102*$I$132</f>
        <v>-232184.87317969042</v>
      </c>
      <c r="D108" s="12">
        <f t="shared" si="10"/>
        <v>-320797.17558971461</v>
      </c>
      <c r="E108" s="12">
        <f t="shared" si="10"/>
        <v>-189573.12751432712</v>
      </c>
      <c r="F108" s="12">
        <f t="shared" si="10"/>
        <v>-173669.76704511832</v>
      </c>
      <c r="G108" s="12">
        <f t="shared" si="10"/>
        <v>-252916.15550264955</v>
      </c>
      <c r="H108" s="12">
        <f t="shared" si="10"/>
        <v>-161406.54116850017</v>
      </c>
      <c r="I108" s="46">
        <f t="shared" si="6"/>
        <v>-1330547.6400000001</v>
      </c>
    </row>
    <row r="109" spans="1:9">
      <c r="A109" s="9" t="s">
        <v>200</v>
      </c>
      <c r="B109" s="22" t="s">
        <v>82</v>
      </c>
      <c r="C109" s="12">
        <f t="shared" ref="C109:H109" si="11">C103*$I$133</f>
        <v>-336970.28297681856</v>
      </c>
      <c r="D109" s="12">
        <f t="shared" si="11"/>
        <v>-341890.87753900897</v>
      </c>
      <c r="E109" s="12">
        <f t="shared" si="11"/>
        <v>-400633.9717828398</v>
      </c>
      <c r="F109" s="12">
        <f t="shared" si="11"/>
        <v>-112467.79945457861</v>
      </c>
      <c r="G109" s="12">
        <f t="shared" si="11"/>
        <v>-211335.33565925009</v>
      </c>
      <c r="H109" s="12">
        <f t="shared" si="11"/>
        <v>-255781.50258750378</v>
      </c>
      <c r="I109" s="46">
        <f t="shared" si="6"/>
        <v>-1659079.77</v>
      </c>
    </row>
    <row r="110" spans="1:9">
      <c r="A110" s="9" t="s">
        <v>201</v>
      </c>
      <c r="B110" s="22" t="s">
        <v>202</v>
      </c>
      <c r="C110" s="12">
        <f>C105/12*INDEX(Hypothèses!$C$31:$E$31,Hypothèses!$B$12)</f>
        <v>145230.55352733837</v>
      </c>
      <c r="D110" s="12">
        <f>D105/12*INDEX(Hypothèses!$C$31:$E$31,Hypothèses!$B$12)</f>
        <v>169708.58069036316</v>
      </c>
      <c r="E110" s="12">
        <f>E105/12*INDEX(Hypothèses!$C$31:$E$31,Hypothèses!$B$12)</f>
        <v>116872.31095889768</v>
      </c>
      <c r="F110" s="12">
        <f>F105/12*INDEX(Hypothèses!$C$31:$E$31,Hypothèses!$B$12)</f>
        <v>47200.834609609585</v>
      </c>
      <c r="G110" s="12">
        <f>G105/12*INDEX(Hypothèses!$C$31:$E$31,Hypothèses!$B$12)</f>
        <v>106369.35757081276</v>
      </c>
      <c r="H110" s="12">
        <f>H105/12*INDEX(Hypothèses!$C$31:$E$31,Hypothèses!$B$12)</f>
        <v>117218.18097631192</v>
      </c>
      <c r="I110" s="46">
        <f t="shared" si="6"/>
        <v>702599.81833333347</v>
      </c>
    </row>
    <row r="111" spans="1:9">
      <c r="A111" s="9" t="s">
        <v>203</v>
      </c>
      <c r="B111" s="22" t="s">
        <v>86</v>
      </c>
      <c r="C111" s="24">
        <f t="shared" ref="C111:H111" si="12">C106/C104</f>
        <v>1.6902646485447401E-2</v>
      </c>
      <c r="D111" s="24">
        <f t="shared" si="12"/>
        <v>1.8575048672645925E-2</v>
      </c>
      <c r="E111" s="24">
        <f t="shared" si="12"/>
        <v>1.6257755500380111E-2</v>
      </c>
      <c r="F111" s="24">
        <f t="shared" si="12"/>
        <v>2.6417050855350607E-2</v>
      </c>
      <c r="G111" s="24">
        <f t="shared" si="12"/>
        <v>1.8242600489145284E-2</v>
      </c>
      <c r="H111" s="24">
        <f t="shared" si="12"/>
        <v>1.3131886967770836E-2</v>
      </c>
    </row>
    <row r="112" spans="1:9">
      <c r="A112" s="9" t="s">
        <v>92</v>
      </c>
      <c r="B112" s="22" t="s">
        <v>86</v>
      </c>
      <c r="C112" s="24">
        <f>C107/C104*INDEX(Hypothèses!$C$34:$E$34,Hypothèses!$B$12)</f>
        <v>2.7158824769190223E-3</v>
      </c>
      <c r="D112" s="24">
        <f>D107/D104*INDEX(Hypothèses!$C$34:$E$34,Hypothèses!$B$12)</f>
        <v>4.6905486600477067E-3</v>
      </c>
      <c r="E112" s="24">
        <f>E107/E104*INDEX(Hypothèses!$C$34:$E$34,Hypothèses!$B$12)</f>
        <v>5.3023864020741648E-3</v>
      </c>
      <c r="F112" s="24">
        <f>F107/F104*INDEX(Hypothèses!$C$34:$E$34,Hypothèses!$B$12)</f>
        <v>3.5502558949087816E-3</v>
      </c>
      <c r="G112" s="24">
        <f>G107/G104*INDEX(Hypothèses!$C$34:$E$34,Hypothèses!$B$12)</f>
        <v>4.0283036721471552E-3</v>
      </c>
      <c r="H112" s="24">
        <f>H107/H104*INDEX(Hypothèses!$C$34:$E$34,Hypothèses!$B$12)</f>
        <v>6.6540599939847829E-3</v>
      </c>
    </row>
    <row r="113" spans="1:8">
      <c r="A113" s="9" t="s">
        <v>88</v>
      </c>
      <c r="B113" s="22" t="s">
        <v>86</v>
      </c>
      <c r="C113" s="24">
        <f t="shared" ref="C113:H113" si="13">-C108/C104</f>
        <v>6.65387225873873E-3</v>
      </c>
      <c r="D113" s="24">
        <f t="shared" si="13"/>
        <v>7.5751983518088399E-3</v>
      </c>
      <c r="E113" s="24">
        <f t="shared" si="13"/>
        <v>5.2476407750995345E-3</v>
      </c>
      <c r="F113" s="24">
        <f t="shared" si="13"/>
        <v>9.6629472967162764E-3</v>
      </c>
      <c r="G113" s="24">
        <f t="shared" si="13"/>
        <v>8.5848497166797679E-3</v>
      </c>
      <c r="H113" s="24">
        <f t="shared" si="13"/>
        <v>6.3182262929290757E-3</v>
      </c>
    </row>
    <row r="114" spans="1:8">
      <c r="A114" s="9" t="s">
        <v>89</v>
      </c>
      <c r="B114" s="22" t="s">
        <v>86</v>
      </c>
      <c r="C114" s="24">
        <f t="shared" ref="C114:H114" si="14">-C109/C104</f>
        <v>9.6567755996040394E-3</v>
      </c>
      <c r="D114" s="24">
        <f t="shared" si="14"/>
        <v>8.0732980496821295E-3</v>
      </c>
      <c r="E114" s="24">
        <f t="shared" si="14"/>
        <v>1.109009063565097E-2</v>
      </c>
      <c r="F114" s="24">
        <f t="shared" si="14"/>
        <v>6.2576834022292005E-3</v>
      </c>
      <c r="G114" s="24">
        <f t="shared" si="14"/>
        <v>7.1734527707532332E-3</v>
      </c>
      <c r="H114" s="24">
        <f t="shared" si="14"/>
        <v>1.001251500214085E-2</v>
      </c>
    </row>
    <row r="115" spans="1:8">
      <c r="A115" s="9" t="s">
        <v>204</v>
      </c>
      <c r="B115" s="22" t="s">
        <v>86</v>
      </c>
      <c r="C115" s="24">
        <f t="shared" ref="C115:H115" si="15">C111</f>
        <v>1.6902646485447401E-2</v>
      </c>
      <c r="D115" s="24">
        <f t="shared" si="15"/>
        <v>1.8575048672645925E-2</v>
      </c>
      <c r="E115" s="24">
        <f t="shared" si="15"/>
        <v>1.6257755500380111E-2</v>
      </c>
      <c r="F115" s="24">
        <f t="shared" si="15"/>
        <v>2.6417050855350607E-2</v>
      </c>
      <c r="G115" s="24">
        <f t="shared" si="15"/>
        <v>1.8242600489145284E-2</v>
      </c>
      <c r="H115" s="24">
        <f t="shared" si="15"/>
        <v>1.3131886967770836E-2</v>
      </c>
    </row>
    <row r="116" spans="1:8">
      <c r="A116" s="9" t="s">
        <v>205</v>
      </c>
      <c r="B116" s="22" t="s">
        <v>86</v>
      </c>
      <c r="C116" s="18">
        <f t="shared" ref="C116:H116" si="16">1-(1-C113-C114)^12</f>
        <v>0.17908981270591728</v>
      </c>
      <c r="D116" s="18">
        <f t="shared" si="16"/>
        <v>0.17243425055041306</v>
      </c>
      <c r="E116" s="18">
        <f t="shared" si="16"/>
        <v>0.17936099341048795</v>
      </c>
      <c r="F116" s="18">
        <f t="shared" si="16"/>
        <v>0.17517555059242296</v>
      </c>
      <c r="G116" s="18">
        <f t="shared" si="16"/>
        <v>0.1735413675498475</v>
      </c>
      <c r="H116" s="18">
        <f t="shared" si="16"/>
        <v>0.17929101102758072</v>
      </c>
    </row>
    <row r="117" spans="1:8">
      <c r="A117" s="9" t="s">
        <v>206</v>
      </c>
      <c r="B117" s="22" t="s">
        <v>86</v>
      </c>
      <c r="C117" s="18">
        <f t="shared" ref="C117:H117" si="17">(1+C115)^12-1</f>
        <v>0.2227918375217699</v>
      </c>
      <c r="D117" s="18">
        <f t="shared" si="17"/>
        <v>0.24714342177133575</v>
      </c>
      <c r="E117" s="18">
        <f t="shared" si="17"/>
        <v>0.21351870489834912</v>
      </c>
      <c r="F117" s="18">
        <f t="shared" si="17"/>
        <v>0.36737078057211936</v>
      </c>
      <c r="G117" s="18">
        <f t="shared" si="17"/>
        <v>0.24226758548771632</v>
      </c>
      <c r="H117" s="18">
        <f t="shared" si="17"/>
        <v>0.16947734436410578</v>
      </c>
    </row>
    <row r="118" spans="1:8">
      <c r="A118" s="9" t="s">
        <v>207</v>
      </c>
      <c r="B118" s="22" t="s">
        <v>86</v>
      </c>
      <c r="C118" s="18">
        <f t="shared" ref="C118:H118" si="18">(1+C115-C113-C114)^12</f>
        <v>1.0071271597469409</v>
      </c>
      <c r="D118" s="18">
        <f t="shared" si="18"/>
        <v>1.0356894487902983</v>
      </c>
      <c r="E118" s="18">
        <f t="shared" si="18"/>
        <v>0.99904071110868986</v>
      </c>
      <c r="F118" s="18">
        <f t="shared" si="18"/>
        <v>1.1334891088719232</v>
      </c>
      <c r="G118" s="18">
        <f t="shared" si="18"/>
        <v>1.0302223026986896</v>
      </c>
      <c r="H118" s="18">
        <f t="shared" si="18"/>
        <v>0.96228195457296439</v>
      </c>
    </row>
    <row r="119" spans="1:8">
      <c r="A119" s="9" t="s">
        <v>208</v>
      </c>
      <c r="B119" s="22" t="s">
        <v>86</v>
      </c>
      <c r="C119" s="18">
        <f>MAX(C116+INDEX(Hypothèses!$C$32:$E$32,Hypothèses!$B$12),0)</f>
        <v>0.17908981270591728</v>
      </c>
      <c r="D119" s="18">
        <f>MAX(D116+INDEX(Hypothèses!$C$32:$E$32,Hypothèses!$B$12),0)</f>
        <v>0.17243425055041306</v>
      </c>
      <c r="E119" s="18">
        <f>MAX(E116+INDEX(Hypothèses!$C$32:$E$32,Hypothèses!$B$12),0)</f>
        <v>0.17936099341048795</v>
      </c>
      <c r="F119" s="18">
        <f>MAX(F116+INDEX(Hypothèses!$C$32:$E$32,Hypothèses!$B$12),0)</f>
        <v>0.17517555059242296</v>
      </c>
      <c r="G119" s="18">
        <f>MAX(G116+INDEX(Hypothèses!$C$32:$E$32,Hypothèses!$B$12),0)</f>
        <v>0.1735413675498475</v>
      </c>
      <c r="H119" s="18">
        <f>MAX(H116+INDEX(Hypothèses!$C$32:$E$32,Hypothèses!$B$12),0)</f>
        <v>0.17929101102758072</v>
      </c>
    </row>
    <row r="120" spans="1:8">
      <c r="A120" s="9" t="s">
        <v>87</v>
      </c>
      <c r="B120" s="22" t="s">
        <v>86</v>
      </c>
      <c r="C120" s="24">
        <f t="shared" ref="C120:H120" si="19">1-(1-C119)^(1/12)</f>
        <v>1.6310647858342797E-2</v>
      </c>
      <c r="D120" s="24">
        <f t="shared" si="19"/>
        <v>1.5648496401491019E-2</v>
      </c>
      <c r="E120" s="24">
        <f t="shared" si="19"/>
        <v>1.6337731410750456E-2</v>
      </c>
      <c r="F120" s="24">
        <f t="shared" si="19"/>
        <v>1.5920630698945448E-2</v>
      </c>
      <c r="G120" s="24">
        <f t="shared" si="19"/>
        <v>1.5758302487432929E-2</v>
      </c>
      <c r="H120" s="24">
        <f t="shared" si="19"/>
        <v>1.633074129506995E-2</v>
      </c>
    </row>
    <row r="121" spans="1:8">
      <c r="A121" s="9" t="s">
        <v>209</v>
      </c>
      <c r="B121" s="22" t="s">
        <v>86</v>
      </c>
      <c r="C121" s="24">
        <f t="shared" ref="C121:H121" si="20">C120*C113/(C113+C114)</f>
        <v>6.6538722587387413E-3</v>
      </c>
      <c r="D121" s="24">
        <f t="shared" si="20"/>
        <v>7.5751983518088633E-3</v>
      </c>
      <c r="E121" s="24">
        <f t="shared" si="20"/>
        <v>5.2476407750995189E-3</v>
      </c>
      <c r="F121" s="24">
        <f t="shared" si="20"/>
        <v>9.6629472967162591E-3</v>
      </c>
      <c r="G121" s="24">
        <f t="shared" si="20"/>
        <v>8.584849716679728E-3</v>
      </c>
      <c r="H121" s="24">
        <f t="shared" si="20"/>
        <v>6.3182262929290852E-3</v>
      </c>
    </row>
    <row r="122" spans="1:8">
      <c r="A122" s="9" t="s">
        <v>210</v>
      </c>
      <c r="B122" s="22" t="s">
        <v>86</v>
      </c>
      <c r="C122" s="24">
        <f t="shared" ref="C122:H122" si="21">C120*C114/(C113+C114)</f>
        <v>9.6567755996040568E-3</v>
      </c>
      <c r="D122" s="24">
        <f t="shared" si="21"/>
        <v>8.0732980496821538E-3</v>
      </c>
      <c r="E122" s="24">
        <f t="shared" si="21"/>
        <v>1.1090090635650937E-2</v>
      </c>
      <c r="F122" s="24">
        <f t="shared" si="21"/>
        <v>6.2576834022291892E-3</v>
      </c>
      <c r="G122" s="24">
        <f t="shared" si="21"/>
        <v>7.1734527707532003E-3</v>
      </c>
      <c r="H122" s="24">
        <f t="shared" si="21"/>
        <v>1.0012515002140865E-2</v>
      </c>
    </row>
    <row r="123" spans="1:8">
      <c r="A123" s="9" t="s">
        <v>211</v>
      </c>
      <c r="B123" s="22" t="s">
        <v>86</v>
      </c>
      <c r="C123" s="18">
        <f>MAX(C117+INDEX(Hypothèses!$C$33:$E$33,Hypothèses!$B$12),0)</f>
        <v>0.2227918375217699</v>
      </c>
      <c r="D123" s="18">
        <f>MAX(D117+INDEX(Hypothèses!$C$33:$E$33,Hypothèses!$B$12),0)</f>
        <v>0.24714342177133575</v>
      </c>
      <c r="E123" s="18">
        <f>MAX(E117+INDEX(Hypothèses!$C$33:$E$33,Hypothèses!$B$12),0)</f>
        <v>0.21351870489834912</v>
      </c>
      <c r="F123" s="18">
        <f>MAX(F117+INDEX(Hypothèses!$C$33:$E$33,Hypothèses!$B$12),0)</f>
        <v>0.36737078057211936</v>
      </c>
      <c r="G123" s="18">
        <f>MAX(G117+INDEX(Hypothèses!$C$33:$E$33,Hypothèses!$B$12),0)</f>
        <v>0.24226758548771632</v>
      </c>
      <c r="H123" s="18">
        <f>MAX(H117+INDEX(Hypothèses!$C$33:$E$33,Hypothèses!$B$12),0)</f>
        <v>0.16947734436410578</v>
      </c>
    </row>
    <row r="124" spans="1:8">
      <c r="A124" s="9" t="s">
        <v>212</v>
      </c>
      <c r="B124" s="22" t="s">
        <v>94</v>
      </c>
      <c r="C124" s="48">
        <f t="shared" ref="C124:H124" si="22">((1+C123)^(1/12)-1)/C115</f>
        <v>0.99999999999999811</v>
      </c>
      <c r="D124" s="48">
        <f t="shared" si="22"/>
        <v>0.99999999999999978</v>
      </c>
      <c r="E124" s="48">
        <f t="shared" si="22"/>
        <v>0.99999999999999312</v>
      </c>
      <c r="F124" s="48">
        <f t="shared" si="22"/>
        <v>0.99999999999999634</v>
      </c>
      <c r="G124" s="48">
        <f t="shared" si="22"/>
        <v>1.0000000000000058</v>
      </c>
      <c r="H124" s="48">
        <f t="shared" si="22"/>
        <v>0.99999999999999645</v>
      </c>
    </row>
    <row r="125" spans="1:8">
      <c r="A125" s="9" t="s">
        <v>213</v>
      </c>
      <c r="B125" s="22" t="s">
        <v>86</v>
      </c>
      <c r="C125" s="24">
        <f t="shared" ref="C125:H125" si="23">C111*C124</f>
        <v>1.690264648544737E-2</v>
      </c>
      <c r="D125" s="24">
        <f t="shared" si="23"/>
        <v>1.8575048672645922E-2</v>
      </c>
      <c r="E125" s="24">
        <f t="shared" si="23"/>
        <v>1.625775550038E-2</v>
      </c>
      <c r="F125" s="24">
        <f t="shared" si="23"/>
        <v>2.641705085535051E-2</v>
      </c>
      <c r="G125" s="24">
        <f t="shared" si="23"/>
        <v>1.8242600489145389E-2</v>
      </c>
      <c r="H125" s="24">
        <f t="shared" si="23"/>
        <v>1.3131886967770789E-2</v>
      </c>
    </row>
    <row r="126" spans="1:8">
      <c r="A126" s="9" t="s">
        <v>214</v>
      </c>
      <c r="B126" s="22" t="s">
        <v>94</v>
      </c>
      <c r="C126" s="32">
        <f t="shared" ref="C126:H126" si="24">1+C125+C112-C121-C122</f>
        <v>1.0033078811040237</v>
      </c>
      <c r="D126" s="32">
        <f t="shared" si="24"/>
        <v>1.0076171009312027</v>
      </c>
      <c r="E126" s="32">
        <f t="shared" si="24"/>
        <v>1.0052224104917038</v>
      </c>
      <c r="F126" s="32">
        <f t="shared" si="24"/>
        <v>1.0140466760513138</v>
      </c>
      <c r="G126" s="32">
        <f t="shared" si="24"/>
        <v>1.0065126016738595</v>
      </c>
      <c r="H126" s="32">
        <f t="shared" si="24"/>
        <v>1.0034552056666857</v>
      </c>
    </row>
    <row r="127" spans="1:8">
      <c r="A127" s="9" t="s">
        <v>215</v>
      </c>
      <c r="B127" s="22" t="s">
        <v>94</v>
      </c>
      <c r="C127" s="32">
        <f>(1+INDEX(Hypothèses!$C$30:$E$30,Hypothèses!$B$12))^(1/12)</f>
        <v>1.0079741404289038</v>
      </c>
      <c r="D127" s="32">
        <f>(1+INDEX(Hypothèses!$C$30:$E$30,Hypothèses!$B$12))^(1/12)</f>
        <v>1.0079741404289038</v>
      </c>
      <c r="E127" s="32">
        <f>(1+INDEX(Hypothèses!$C$30:$E$30,Hypothèses!$B$12))^(1/12)</f>
        <v>1.0079741404289038</v>
      </c>
      <c r="F127" s="32">
        <f>(1+INDEX(Hypothèses!$C$30:$E$30,Hypothèses!$B$12))^(1/12)</f>
        <v>1.0079741404289038</v>
      </c>
      <c r="G127" s="32">
        <f>(1+INDEX(Hypothèses!$C$30:$E$30,Hypothèses!$B$12))^(1/12)</f>
        <v>1.0079741404289038</v>
      </c>
      <c r="H127" s="32">
        <f>(1+INDEX(Hypothèses!$C$30:$E$30,Hypothèses!$B$12))^(1/12)</f>
        <v>1.0079741404289038</v>
      </c>
    </row>
    <row r="128" spans="1:8" ht="25.5">
      <c r="A128" s="23" t="s">
        <v>216</v>
      </c>
    </row>
    <row r="129" spans="1:11">
      <c r="A129" s="23" t="s">
        <v>217</v>
      </c>
      <c r="I129" s="49">
        <f>Hypothèses!$B$16/I99</f>
        <v>0.98142819520801383</v>
      </c>
    </row>
    <row r="130" spans="1:11">
      <c r="A130" s="23" t="s">
        <v>218</v>
      </c>
      <c r="I130" s="49">
        <f>Hypothèses!$B$17/(I100)</f>
        <v>1.2101146702884331</v>
      </c>
    </row>
    <row r="131" spans="1:11">
      <c r="A131" s="23" t="s">
        <v>219</v>
      </c>
      <c r="I131" s="49">
        <f>Hypothèses!$B$18/I101</f>
        <v>1.6789778189544058</v>
      </c>
    </row>
    <row r="132" spans="1:11">
      <c r="A132" s="23" t="s">
        <v>220</v>
      </c>
      <c r="I132" s="49">
        <f>Hypothèses!$B$19/I102</f>
        <v>1.4183042510892572</v>
      </c>
    </row>
    <row r="133" spans="1:11">
      <c r="A133" s="23" t="s">
        <v>221</v>
      </c>
      <c r="I133" s="49">
        <f>Hypothèses!$B$20/I103</f>
        <v>1.2793625182171229</v>
      </c>
    </row>
    <row r="135" spans="1:11" ht="30" customHeight="1">
      <c r="A135" s="33" t="s">
        <v>222</v>
      </c>
      <c r="B135" s="33" t="s">
        <v>223</v>
      </c>
      <c r="C135" s="33" t="s">
        <v>274</v>
      </c>
      <c r="D135" s="33" t="s">
        <v>275</v>
      </c>
      <c r="E135" s="33" t="s">
        <v>276</v>
      </c>
      <c r="F135" s="33" t="s">
        <v>277</v>
      </c>
      <c r="G135" s="33" t="s">
        <v>278</v>
      </c>
      <c r="H135" s="33" t="s">
        <v>279</v>
      </c>
      <c r="I135" s="33" t="s">
        <v>224</v>
      </c>
      <c r="J135" s="33" t="s">
        <v>225</v>
      </c>
      <c r="K135" s="33" t="s">
        <v>226</v>
      </c>
    </row>
    <row r="136" spans="1:11">
      <c r="A136" s="20">
        <v>0</v>
      </c>
      <c r="B136" s="9" t="s">
        <v>227</v>
      </c>
      <c r="C136" s="12">
        <f t="shared" ref="C136:H136" si="25">C97</f>
        <v>4005084.85</v>
      </c>
      <c r="D136" s="12">
        <f t="shared" si="25"/>
        <v>5109523.5999999996</v>
      </c>
      <c r="E136" s="12">
        <f t="shared" si="25"/>
        <v>3852255.8400000003</v>
      </c>
      <c r="F136" s="12">
        <f t="shared" si="25"/>
        <v>1971940.98</v>
      </c>
      <c r="G136" s="12">
        <f t="shared" si="25"/>
        <v>3328719.41</v>
      </c>
      <c r="H136" s="12">
        <f t="shared" si="25"/>
        <v>3138078.8899999997</v>
      </c>
      <c r="I136" s="46">
        <f t="shared" ref="I136:I172" si="26">SUM(C136:H136)</f>
        <v>21405603.57</v>
      </c>
      <c r="J136" s="13">
        <f>Projection!$AA$7</f>
        <v>21405603.59</v>
      </c>
      <c r="K136" s="32">
        <f t="shared" ref="K136:K172" si="27">J136/I136</f>
        <v>1.0000000009343348</v>
      </c>
    </row>
    <row r="137" spans="1:11">
      <c r="A137" s="20">
        <v>1</v>
      </c>
      <c r="B137" s="9" t="s">
        <v>228</v>
      </c>
      <c r="C137" s="12">
        <f t="shared" ref="C137:C172" si="28">C136*C$126+C$110*C$127^$A137</f>
        <v>4164721.8368510595</v>
      </c>
      <c r="D137" s="12">
        <f t="shared" ref="D137:D172" si="29">D136*D$126+D$110*D$127^$A137</f>
        <v>5319505.21771634</v>
      </c>
      <c r="E137" s="12">
        <f t="shared" ref="E137:E172" si="30">E136*E$126+E$110*E$127^$A137</f>
        <v>3990178.1684942776</v>
      </c>
      <c r="F137" s="12">
        <f t="shared" ref="F137:F172" si="31">F136*F$126+F$110*F$127^$A137</f>
        <v>2047217.4168315183</v>
      </c>
      <c r="G137" s="12">
        <f t="shared" ref="G137:G172" si="32">G136*G$126+G$110*G$127^$A137</f>
        <v>3457615.5953667895</v>
      </c>
      <c r="H137" s="12">
        <f t="shared" ref="H137:H172" si="33">H136*H$126+H$110*H$127^$A137</f>
        <v>3267074.4931754721</v>
      </c>
      <c r="I137" s="46">
        <f t="shared" si="26"/>
        <v>22246312.728435457</v>
      </c>
      <c r="J137" s="13">
        <f>Projection!$AA$8</f>
        <v>22246967.999648459</v>
      </c>
      <c r="K137" s="32">
        <f t="shared" si="27"/>
        <v>1.0000294552729254</v>
      </c>
    </row>
    <row r="138" spans="1:11">
      <c r="A138" s="20">
        <v>2</v>
      </c>
      <c r="B138" s="9" t="s">
        <v>229</v>
      </c>
      <c r="C138" s="12">
        <f t="shared" si="28"/>
        <v>4326054.2074657679</v>
      </c>
      <c r="D138" s="12">
        <f t="shared" si="29"/>
        <v>5532450.3579081316</v>
      </c>
      <c r="E138" s="12">
        <f t="shared" si="30"/>
        <v>4129760.1717735315</v>
      </c>
      <c r="F138" s="12">
        <f t="shared" si="31"/>
        <v>2123930.6248245304</v>
      </c>
      <c r="G138" s="12">
        <f t="shared" si="32"/>
        <v>3588206.198140115</v>
      </c>
      <c r="H138" s="12">
        <f t="shared" si="33"/>
        <v>3397457.9704685179</v>
      </c>
      <c r="I138" s="46">
        <f t="shared" si="26"/>
        <v>23097859.530580595</v>
      </c>
      <c r="J138" s="13">
        <f>Projection!$AA$9</f>
        <v>23099213.752727423</v>
      </c>
      <c r="K138" s="32">
        <f t="shared" si="27"/>
        <v>1.0000586297680543</v>
      </c>
    </row>
    <row r="139" spans="1:11">
      <c r="A139" s="20">
        <v>3</v>
      </c>
      <c r="B139" s="9" t="s">
        <v>230</v>
      </c>
      <c r="C139" s="12">
        <f t="shared" si="28"/>
        <v>4489096.8783742841</v>
      </c>
      <c r="D139" s="12">
        <f t="shared" si="29"/>
        <v>5748392.4713212792</v>
      </c>
      <c r="E139" s="12">
        <f t="shared" si="30"/>
        <v>4271018.0081507629</v>
      </c>
      <c r="F139" s="12">
        <f t="shared" si="31"/>
        <v>2202103.811126817</v>
      </c>
      <c r="G139" s="12">
        <f t="shared" si="32"/>
        <v>3720509.071019663</v>
      </c>
      <c r="H139" s="12">
        <f t="shared" si="33"/>
        <v>3529241.6302478258</v>
      </c>
      <c r="I139" s="46">
        <f t="shared" si="26"/>
        <v>23960361.870240636</v>
      </c>
      <c r="J139" s="13">
        <f>Projection!$AA$10</f>
        <v>23962453.573315348</v>
      </c>
      <c r="K139" s="32">
        <f t="shared" si="27"/>
        <v>1.0000872984759597</v>
      </c>
    </row>
    <row r="140" spans="1:11">
      <c r="A140" s="20">
        <v>4</v>
      </c>
      <c r="B140" s="9" t="s">
        <v>231</v>
      </c>
      <c r="C140" s="12">
        <f t="shared" si="28"/>
        <v>4653864.8896753825</v>
      </c>
      <c r="D140" s="12">
        <f t="shared" si="29"/>
        <v>5967365.3502364829</v>
      </c>
      <c r="E140" s="12">
        <f t="shared" si="30"/>
        <v>4413967.9800570887</v>
      </c>
      <c r="F140" s="12">
        <f t="shared" si="31"/>
        <v>2281760.5329935239</v>
      </c>
      <c r="G140" s="12">
        <f t="shared" si="32"/>
        <v>3854542.2373374132</v>
      </c>
      <c r="H140" s="12">
        <f t="shared" si="33"/>
        <v>3662437.8833195735</v>
      </c>
      <c r="I140" s="46">
        <f t="shared" si="26"/>
        <v>24833938.873619467</v>
      </c>
      <c r="J140" s="13">
        <f>Projection!$AA$11</f>
        <v>24836801.245829854</v>
      </c>
      <c r="K140" s="32">
        <f t="shared" si="27"/>
        <v>1.0001152604999535</v>
      </c>
    </row>
    <row r="141" spans="1:11">
      <c r="A141" s="20">
        <v>5</v>
      </c>
      <c r="B141" s="9" t="s">
        <v>232</v>
      </c>
      <c r="C141" s="12">
        <f t="shared" si="28"/>
        <v>4820373.4060370959</v>
      </c>
      <c r="D141" s="12">
        <f t="shared" si="29"/>
        <v>6189403.1317623965</v>
      </c>
      <c r="E141" s="12">
        <f t="shared" si="30"/>
        <v>4558626.5352707002</v>
      </c>
      <c r="F141" s="12">
        <f t="shared" si="31"/>
        <v>2362924.7028973731</v>
      </c>
      <c r="G141" s="12">
        <f t="shared" si="32"/>
        <v>3990323.8926024116</v>
      </c>
      <c r="H141" s="12">
        <f t="shared" si="33"/>
        <v>3797059.2437590961</v>
      </c>
      <c r="I141" s="46">
        <f t="shared" si="26"/>
        <v>25718710.91232907</v>
      </c>
      <c r="J141" s="13">
        <f>Projection!$AA$12</f>
        <v>25722371.624487415</v>
      </c>
      <c r="K141" s="32">
        <f t="shared" si="27"/>
        <v>1.0001423365335387</v>
      </c>
    </row>
    <row r="142" spans="1:11">
      <c r="A142" s="20">
        <v>6</v>
      </c>
      <c r="B142" s="9" t="s">
        <v>233</v>
      </c>
      <c r="C142" s="12">
        <f t="shared" si="28"/>
        <v>4988637.7177053858</v>
      </c>
      <c r="D142" s="12">
        <f t="shared" si="29"/>
        <v>6414540.3011593837</v>
      </c>
      <c r="E142" s="12">
        <f t="shared" si="30"/>
        <v>4705010.2681560423</v>
      </c>
      <c r="F142" s="12">
        <f t="shared" si="31"/>
        <v>2445620.5937121939</v>
      </c>
      <c r="G142" s="12">
        <f t="shared" si="32"/>
        <v>4127872.4060590588</v>
      </c>
      <c r="H142" s="12">
        <f t="shared" si="33"/>
        <v>3933118.3297492396</v>
      </c>
      <c r="I142" s="46">
        <f t="shared" si="26"/>
        <v>26614799.616541304</v>
      </c>
      <c r="J142" s="13">
        <f>Projection!$AA$13</f>
        <v>26619280.642844804</v>
      </c>
      <c r="K142" s="32">
        <f t="shared" si="27"/>
        <v>1.0001683659605956</v>
      </c>
    </row>
    <row r="143" spans="1:11">
      <c r="A143" s="20">
        <v>7</v>
      </c>
      <c r="B143" s="9" t="s">
        <v>234</v>
      </c>
      <c r="C143" s="12">
        <f t="shared" si="28"/>
        <v>5158673.2415209115</v>
      </c>
      <c r="D143" s="12">
        <f t="shared" si="29"/>
        <v>6642811.695194155</v>
      </c>
      <c r="E143" s="12">
        <f t="shared" si="30"/>
        <v>4853135.9209132921</v>
      </c>
      <c r="F143" s="12">
        <f t="shared" si="31"/>
        <v>2529872.8439708082</v>
      </c>
      <c r="G143" s="12">
        <f t="shared" si="32"/>
        <v>4267206.322259034</v>
      </c>
      <c r="H143" s="12">
        <f t="shared" si="33"/>
        <v>4070627.8644254501</v>
      </c>
      <c r="I143" s="46">
        <f t="shared" si="26"/>
        <v>27522327.888283651</v>
      </c>
      <c r="J143" s="13">
        <f>Projection!$AA$14</f>
        <v>27527645.323422849</v>
      </c>
      <c r="K143" s="32">
        <f t="shared" si="27"/>
        <v>1.0001932044106436</v>
      </c>
    </row>
    <row r="144" spans="1:11">
      <c r="A144" s="20">
        <v>8</v>
      </c>
      <c r="B144" s="9" t="s">
        <v>235</v>
      </c>
      <c r="C144" s="12">
        <f t="shared" si="28"/>
        <v>5330495.5219439566</v>
      </c>
      <c r="D144" s="12">
        <f t="shared" si="29"/>
        <v>6874252.505525561</v>
      </c>
      <c r="E144" s="12">
        <f t="shared" si="30"/>
        <v>5003020.3848382188</v>
      </c>
      <c r="F144" s="12">
        <f t="shared" si="31"/>
        <v>2615706.463198333</v>
      </c>
      <c r="G144" s="12">
        <f t="shared" si="32"/>
        <v>4408344.3626469681</v>
      </c>
      <c r="H144" s="12">
        <f t="shared" si="33"/>
        <v>4209600.6767276525</v>
      </c>
      <c r="I144" s="46">
        <f t="shared" si="26"/>
        <v>28441419.914880689</v>
      </c>
      <c r="J144" s="13">
        <f>Projection!$AA$15</f>
        <v>28447583.787413295</v>
      </c>
      <c r="K144" s="32">
        <f t="shared" si="27"/>
        <v>1.0002167216879836</v>
      </c>
    </row>
    <row r="145" spans="1:11">
      <c r="A145" s="20">
        <v>9</v>
      </c>
      <c r="B145" s="9" t="s">
        <v>236</v>
      </c>
      <c r="C145" s="12">
        <f t="shared" si="28"/>
        <v>5504120.232087574</v>
      </c>
      <c r="D145" s="12">
        <f t="shared" si="29"/>
        <v>7108898.2821218167</v>
      </c>
      <c r="E145" s="12">
        <f t="shared" si="30"/>
        <v>5154680.7015925171</v>
      </c>
      <c r="F145" s="12">
        <f t="shared" si="31"/>
        <v>2703146.837321965</v>
      </c>
      <c r="G145" s="12">
        <f t="shared" si="32"/>
        <v>4551305.4271599799</v>
      </c>
      <c r="H145" s="12">
        <f t="shared" si="33"/>
        <v>4350049.702258978</v>
      </c>
      <c r="I145" s="46">
        <f t="shared" si="26"/>
        <v>29372201.182542827</v>
      </c>
      <c r="J145" s="13">
        <f>Projection!$AA$16</f>
        <v>29379215.264469415</v>
      </c>
      <c r="K145" s="32">
        <f t="shared" si="27"/>
        <v>1.0002388000096758</v>
      </c>
    </row>
    <row r="146" spans="1:11">
      <c r="A146" s="20">
        <v>10</v>
      </c>
      <c r="B146" s="9" t="s">
        <v>237</v>
      </c>
      <c r="C146" s="12">
        <f t="shared" si="28"/>
        <v>5679563.1747590303</v>
      </c>
      <c r="D146" s="12">
        <f t="shared" si="29"/>
        <v>7346784.936709458</v>
      </c>
      <c r="E146" s="12">
        <f t="shared" si="30"/>
        <v>5308134.0644846931</v>
      </c>
      <c r="F146" s="12">
        <f t="shared" si="31"/>
        <v>2792219.7341583427</v>
      </c>
      <c r="G146" s="12">
        <f t="shared" si="32"/>
        <v>4696108.5958412057</v>
      </c>
      <c r="H146" s="12">
        <f t="shared" si="33"/>
        <v>4491987.984151382</v>
      </c>
      <c r="I146" s="46">
        <f t="shared" si="26"/>
        <v>30314798.490104113</v>
      </c>
      <c r="J146" s="13">
        <f>Projection!$AA$17</f>
        <v>30322660.10258111</v>
      </c>
      <c r="K146" s="32">
        <f t="shared" si="27"/>
        <v>1.0002593324999196</v>
      </c>
    </row>
    <row r="147" spans="1:11">
      <c r="A147" s="20">
        <v>11</v>
      </c>
      <c r="B147" s="9" t="s">
        <v>238</v>
      </c>
      <c r="C147" s="12">
        <f t="shared" si="28"/>
        <v>5856840.283509599</v>
      </c>
      <c r="D147" s="12">
        <f t="shared" si="29"/>
        <v>7587948.7462543035</v>
      </c>
      <c r="E147" s="12">
        <f t="shared" si="30"/>
        <v>5463397.819761591</v>
      </c>
      <c r="F147" s="12">
        <f t="shared" si="31"/>
        <v>2882951.3089795806</v>
      </c>
      <c r="G147" s="12">
        <f t="shared" si="32"/>
        <v>4842773.130467426</v>
      </c>
      <c r="H147" s="12">
        <f t="shared" si="33"/>
        <v>4635428.6739382306</v>
      </c>
      <c r="I147" s="46">
        <f t="shared" si="26"/>
        <v>31269339.962910734</v>
      </c>
      <c r="J147" s="13">
        <f>Projection!$AA$18</f>
        <v>31278039.778035209</v>
      </c>
      <c r="K147" s="32">
        <f t="shared" si="27"/>
        <v>1.000278221898345</v>
      </c>
    </row>
    <row r="148" spans="1:11">
      <c r="A148" s="50">
        <v>12</v>
      </c>
      <c r="B148" s="51" t="s">
        <v>239</v>
      </c>
      <c r="C148" s="52">
        <f t="shared" si="28"/>
        <v>6035967.623692777</v>
      </c>
      <c r="D148" s="52">
        <f t="shared" si="29"/>
        <v>7832426.3564747153</v>
      </c>
      <c r="E148" s="52">
        <f t="shared" si="30"/>
        <v>5620489.467910653</v>
      </c>
      <c r="F148" s="52">
        <f t="shared" si="31"/>
        <v>2975368.1101590986</v>
      </c>
      <c r="G148" s="52">
        <f t="shared" si="32"/>
        <v>4991318.4761909237</v>
      </c>
      <c r="H148" s="52">
        <f t="shared" si="33"/>
        <v>4780385.0324338824</v>
      </c>
      <c r="I148" s="53">
        <f t="shared" si="26"/>
        <v>32235955.066862054</v>
      </c>
      <c r="J148" s="54">
        <f>Projection!$AA$19</f>
        <v>32245476.905461632</v>
      </c>
      <c r="K148" s="55">
        <f t="shared" si="27"/>
        <v>1.0002953794475711</v>
      </c>
    </row>
    <row r="149" spans="1:11">
      <c r="A149" s="20">
        <v>13</v>
      </c>
      <c r="B149" s="9" t="s">
        <v>240</v>
      </c>
      <c r="C149" s="12">
        <f t="shared" si="28"/>
        <v>6216961.3935309956</v>
      </c>
      <c r="D149" s="12">
        <f t="shared" si="29"/>
        <v>8080254.7853874508</v>
      </c>
      <c r="E149" s="12">
        <f t="shared" si="30"/>
        <v>5779426.664972988</v>
      </c>
      <c r="F149" s="12">
        <f t="shared" si="31"/>
        <v>3069497.0848983764</v>
      </c>
      <c r="G149" s="12">
        <f t="shared" si="32"/>
        <v>5141764.263195687</v>
      </c>
      <c r="H149" s="12">
        <f t="shared" si="33"/>
        <v>4926870.430620349</v>
      </c>
      <c r="I149" s="46">
        <f t="shared" si="26"/>
        <v>33214774.622605845</v>
      </c>
      <c r="J149" s="13">
        <f>Projection!$AA$20</f>
        <v>33225095.247966267</v>
      </c>
      <c r="K149" s="32">
        <f t="shared" si="27"/>
        <v>1.0003107239316746</v>
      </c>
    </row>
    <row r="150" spans="1:11">
      <c r="A150" s="20">
        <v>14</v>
      </c>
      <c r="B150" s="9" t="s">
        <v>241</v>
      </c>
      <c r="C150" s="12">
        <f t="shared" si="28"/>
        <v>6399837.9251908828</v>
      </c>
      <c r="D150" s="12">
        <f t="shared" si="29"/>
        <v>8331471.4268864067</v>
      </c>
      <c r="E150" s="12">
        <f t="shared" si="30"/>
        <v>5940227.2238673512</v>
      </c>
      <c r="F150" s="12">
        <f t="shared" si="31"/>
        <v>3165365.5850357856</v>
      </c>
      <c r="G150" s="12">
        <f t="shared" si="32"/>
        <v>5294130.3083680812</v>
      </c>
      <c r="H150" s="12">
        <f t="shared" si="33"/>
        <v>5074898.3505410701</v>
      </c>
      <c r="I150" s="46">
        <f t="shared" si="26"/>
        <v>34205930.819889575</v>
      </c>
      <c r="J150" s="13">
        <f>Projection!$AA$21</f>
        <v>34217019.727351137</v>
      </c>
      <c r="K150" s="32">
        <f t="shared" si="27"/>
        <v>1.0003241808422039</v>
      </c>
    </row>
    <row r="151" spans="1:11">
      <c r="A151" s="20">
        <v>15</v>
      </c>
      <c r="B151" s="9" t="s">
        <v>242</v>
      </c>
      <c r="C151" s="12">
        <f t="shared" si="28"/>
        <v>6584613.6858671596</v>
      </c>
      <c r="D151" s="12">
        <f t="shared" si="29"/>
        <v>8586114.0543545354</v>
      </c>
      <c r="E151" s="12">
        <f t="shared" si="30"/>
        <v>6102909.1157251159</v>
      </c>
      <c r="F151" s="12">
        <f t="shared" si="31"/>
        <v>3263001.3729386637</v>
      </c>
      <c r="G151" s="12">
        <f t="shared" si="32"/>
        <v>5448436.6169821154</v>
      </c>
      <c r="H151" s="12">
        <f t="shared" si="33"/>
        <v>5224482.3862018744</v>
      </c>
      <c r="I151" s="46">
        <f t="shared" si="26"/>
        <v>35209557.232069463</v>
      </c>
      <c r="J151" s="13">
        <f>Projection!$AA$22</f>
        <v>35221376.434422687</v>
      </c>
      <c r="K151" s="32">
        <f t="shared" si="27"/>
        <v>1.0003356816524367</v>
      </c>
    </row>
    <row r="152" spans="1:11">
      <c r="A152" s="20">
        <v>16</v>
      </c>
      <c r="B152" s="9" t="s">
        <v>243</v>
      </c>
      <c r="C152" s="12">
        <f t="shared" si="28"/>
        <v>6771305.2788752271</v>
      </c>
      <c r="D152" s="12">
        <f t="shared" si="29"/>
        <v>8844220.8243092559</v>
      </c>
      <c r="E152" s="12">
        <f t="shared" si="30"/>
        <v>6267490.4712363277</v>
      </c>
      <c r="F152" s="12">
        <f t="shared" si="31"/>
        <v>3362432.6274798145</v>
      </c>
      <c r="G152" s="12">
        <f t="shared" si="32"/>
        <v>5604703.3843994308</v>
      </c>
      <c r="H152" s="12">
        <f t="shared" si="33"/>
        <v>5375636.2444791729</v>
      </c>
      <c r="I152" s="46">
        <f t="shared" si="26"/>
        <v>36225788.830779225</v>
      </c>
      <c r="J152" s="13">
        <f>Projection!$AA$23</f>
        <v>36238292.639389008</v>
      </c>
      <c r="K152" s="32">
        <f t="shared" si="27"/>
        <v>1.0003451631838354</v>
      </c>
    </row>
    <row r="153" spans="1:11">
      <c r="A153" s="20">
        <v>17</v>
      </c>
      <c r="B153" s="9" t="s">
        <v>244</v>
      </c>
      <c r="C153" s="12">
        <f t="shared" si="28"/>
        <v>6959929.444752519</v>
      </c>
      <c r="D153" s="12">
        <f t="shared" si="29"/>
        <v>9105830.2800816447</v>
      </c>
      <c r="E153" s="12">
        <f t="shared" si="30"/>
        <v>6433989.5820069341</v>
      </c>
      <c r="F153" s="12">
        <f t="shared" si="31"/>
        <v>3463687.9500996289</v>
      </c>
      <c r="G153" s="12">
        <f t="shared" si="32"/>
        <v>5762950.9977841238</v>
      </c>
      <c r="H153" s="12">
        <f t="shared" si="33"/>
        <v>5528373.7460354501</v>
      </c>
      <c r="I153" s="46">
        <f t="shared" si="26"/>
        <v>37254762.000760302</v>
      </c>
      <c r="J153" s="13">
        <f>Projection!$AA$24</f>
        <v>37267896.80234652</v>
      </c>
      <c r="K153" s="32">
        <f t="shared" si="27"/>
        <v>1.0003525670513196</v>
      </c>
    </row>
    <row r="154" spans="1:11">
      <c r="A154" s="20">
        <v>18</v>
      </c>
      <c r="B154" s="9" t="s">
        <v>245</v>
      </c>
      <c r="C154" s="12">
        <f t="shared" si="28"/>
        <v>7150503.0623686872</v>
      </c>
      <c r="D154" s="12">
        <f t="shared" si="29"/>
        <v>9370981.3555297256</v>
      </c>
      <c r="E154" s="12">
        <f t="shared" si="30"/>
        <v>6602424.901927284</v>
      </c>
      <c r="F154" s="12">
        <f t="shared" si="31"/>
        <v>3566796.3709550495</v>
      </c>
      <c r="G154" s="12">
        <f t="shared" si="32"/>
        <v>5923200.0378325498</v>
      </c>
      <c r="H154" s="12">
        <f t="shared" si="33"/>
        <v>5682708.8262421107</v>
      </c>
      <c r="I154" s="46">
        <f t="shared" si="26"/>
        <v>38296614.554855406</v>
      </c>
      <c r="J154" s="13">
        <f>Projection!$AA$25</f>
        <v>38310318.583857074</v>
      </c>
      <c r="K154" s="32">
        <f t="shared" si="27"/>
        <v>1.0003578391761507</v>
      </c>
    </row>
    <row r="155" spans="1:11">
      <c r="A155" s="20">
        <v>19</v>
      </c>
      <c r="B155" s="9" t="s">
        <v>246</v>
      </c>
      <c r="C155" s="12">
        <f t="shared" si="28"/>
        <v>7343043.1500446992</v>
      </c>
      <c r="D155" s="12">
        <f t="shared" si="29"/>
        <v>9639713.3787861448</v>
      </c>
      <c r="E155" s="12">
        <f t="shared" si="30"/>
        <v>6772815.0485519785</v>
      </c>
      <c r="F155" s="12">
        <f t="shared" si="31"/>
        <v>3671787.3551566065</v>
      </c>
      <c r="G155" s="12">
        <f t="shared" si="32"/>
        <v>6085471.2805182189</v>
      </c>
      <c r="H155" s="12">
        <f t="shared" si="33"/>
        <v>5838655.5361097343</v>
      </c>
      <c r="I155" s="46">
        <f t="shared" si="26"/>
        <v>39351485.749167383</v>
      </c>
      <c r="J155" s="13">
        <f>Projection!$AA$26</f>
        <v>39365688.855616234</v>
      </c>
      <c r="K155" s="32">
        <f t="shared" si="27"/>
        <v>1.0003609293570104</v>
      </c>
    </row>
    <row r="156" spans="1:11">
      <c r="A156" s="20">
        <v>20</v>
      </c>
      <c r="B156" s="9" t="s">
        <v>247</v>
      </c>
      <c r="C156" s="12">
        <f t="shared" si="28"/>
        <v>7537566.8666809052</v>
      </c>
      <c r="D156" s="12">
        <f t="shared" si="29"/>
        <v>9912066.0760405753</v>
      </c>
      <c r="E156" s="12">
        <f t="shared" si="30"/>
        <v>6945178.8044911781</v>
      </c>
      <c r="F156" s="12">
        <f t="shared" si="31"/>
        <v>3778690.8090947778</v>
      </c>
      <c r="G156" s="12">
        <f t="shared" si="32"/>
        <v>6249785.6988519197</v>
      </c>
      <c r="H156" s="12">
        <f t="shared" si="33"/>
        <v>5996228.0432258043</v>
      </c>
      <c r="I156" s="46">
        <f t="shared" si="26"/>
        <v>40419516.298385158</v>
      </c>
      <c r="J156" s="13">
        <f>Projection!$AA$27</f>
        <v>40434139.711213335</v>
      </c>
      <c r="K156" s="32">
        <f t="shared" si="27"/>
        <v>1.0003617908913165</v>
      </c>
    </row>
    <row r="157" spans="1:11">
      <c r="A157" s="20">
        <v>21</v>
      </c>
      <c r="B157" s="9" t="s">
        <v>248</v>
      </c>
      <c r="C157" s="12">
        <f t="shared" si="28"/>
        <v>7734091.5128941601</v>
      </c>
      <c r="D157" s="12">
        <f t="shared" si="29"/>
        <v>10188079.57535713</v>
      </c>
      <c r="E157" s="12">
        <f t="shared" si="30"/>
        <v>7119535.1188134532</v>
      </c>
      <c r="F157" s="12">
        <f t="shared" si="31"/>
        <v>3887537.0868569417</v>
      </c>
      <c r="G157" s="12">
        <f t="shared" si="32"/>
        <v>6416164.4646572024</v>
      </c>
      <c r="H157" s="12">
        <f t="shared" si="33"/>
        <v>6155440.6326999702</v>
      </c>
      <c r="I157" s="46">
        <f t="shared" si="26"/>
        <v>41500848.391278848</v>
      </c>
      <c r="J157" s="13">
        <f>Projection!$AA$28</f>
        <v>41515804.47698424</v>
      </c>
      <c r="K157" s="32">
        <f t="shared" si="27"/>
        <v>1.0003603802400467</v>
      </c>
    </row>
    <row r="158" spans="1:11">
      <c r="A158" s="20">
        <v>22</v>
      </c>
      <c r="B158" s="9" t="s">
        <v>249</v>
      </c>
      <c r="C158" s="12">
        <f t="shared" si="28"/>
        <v>7932634.5321640586</v>
      </c>
      <c r="D158" s="12">
        <f t="shared" si="29"/>
        <v>10467794.410527121</v>
      </c>
      <c r="E158" s="12">
        <f t="shared" si="30"/>
        <v>7295903.1084602736</v>
      </c>
      <c r="F158" s="12">
        <f t="shared" si="31"/>
        <v>3998356.9967362103</v>
      </c>
      <c r="G158" s="12">
        <f t="shared" si="32"/>
        <v>6584628.9503613496</v>
      </c>
      <c r="H158" s="12">
        <f t="shared" si="33"/>
        <v>6316307.7081168965</v>
      </c>
      <c r="I158" s="46">
        <f t="shared" si="26"/>
        <v>42595625.706365913</v>
      </c>
      <c r="J158" s="13">
        <f>Projection!$AA$29</f>
        <v>42610817.722957574</v>
      </c>
      <c r="K158" s="32">
        <f t="shared" si="27"/>
        <v>1.0003566567303503</v>
      </c>
    </row>
    <row r="159" spans="1:11">
      <c r="A159" s="20">
        <v>23</v>
      </c>
      <c r="B159" s="9" t="s">
        <v>250</v>
      </c>
      <c r="C159" s="12">
        <f t="shared" si="28"/>
        <v>8133213.5119883725</v>
      </c>
      <c r="D159" s="12">
        <f t="shared" si="29"/>
        <v>10751251.524957485</v>
      </c>
      <c r="E159" s="12">
        <f t="shared" si="30"/>
        <v>7474302.0596722299</v>
      </c>
      <c r="F159" s="12">
        <f t="shared" si="31"/>
        <v>4111181.8078334406</v>
      </c>
      <c r="G159" s="12">
        <f t="shared" si="32"/>
        <v>6755200.730801967</v>
      </c>
      <c r="H159" s="12">
        <f t="shared" si="33"/>
        <v>6478843.7924967697</v>
      </c>
      <c r="I159" s="46">
        <f t="shared" si="26"/>
        <v>43703993.427750267</v>
      </c>
      <c r="J159" s="13">
        <f>Projection!$AA$30</f>
        <v>43719315.273895159</v>
      </c>
      <c r="K159" s="32">
        <f t="shared" si="27"/>
        <v>1.0003505822910719</v>
      </c>
    </row>
    <row r="160" spans="1:11">
      <c r="A160" s="50">
        <v>24</v>
      </c>
      <c r="B160" s="51" t="s">
        <v>251</v>
      </c>
      <c r="C160" s="52">
        <f t="shared" si="28"/>
        <v>8335846.1850477494</v>
      </c>
      <c r="D160" s="52">
        <f t="shared" si="29"/>
        <v>11038492.275595173</v>
      </c>
      <c r="E160" s="52">
        <f t="shared" si="30"/>
        <v>7654751.429427091</v>
      </c>
      <c r="F160" s="52">
        <f t="shared" si="31"/>
        <v>4226043.2567537595</v>
      </c>
      <c r="G160" s="52">
        <f t="shared" si="32"/>
        <v>6927901.5850493275</v>
      </c>
      <c r="H160" s="52">
        <f t="shared" si="33"/>
        <v>6643063.5292635132</v>
      </c>
      <c r="I160" s="53">
        <f t="shared" si="26"/>
        <v>44826098.261136606</v>
      </c>
      <c r="J160" s="54">
        <f>Projection!$AA$31</f>
        <v>44841434.220427461</v>
      </c>
      <c r="K160" s="55">
        <f t="shared" si="27"/>
        <v>1.0003421212170087</v>
      </c>
    </row>
    <row r="161" spans="1:11">
      <c r="A161" s="20">
        <v>25</v>
      </c>
      <c r="B161" s="9" t="s">
        <v>252</v>
      </c>
      <c r="C161" s="12">
        <f t="shared" si="28"/>
        <v>8540550.4303797539</v>
      </c>
      <c r="D161" s="12">
        <f t="shared" si="29"/>
        <v>11329558.436887864</v>
      </c>
      <c r="E161" s="12">
        <f t="shared" si="30"/>
        <v>7837270.8468897846</v>
      </c>
      <c r="F161" s="12">
        <f t="shared" si="31"/>
        <v>4342973.5543989278</v>
      </c>
      <c r="G161" s="12">
        <f t="shared" si="32"/>
        <v>7102753.498244605</v>
      </c>
      <c r="H161" s="12">
        <f t="shared" si="33"/>
        <v>6808981.6832207851</v>
      </c>
      <c r="I161" s="46">
        <f t="shared" si="26"/>
        <v>45962088.450021714</v>
      </c>
      <c r="J161" s="13">
        <f>Projection!$AA$32</f>
        <v>45977312.930284888</v>
      </c>
      <c r="K161" s="32">
        <f t="shared" si="27"/>
        <v>1.0003312399583351</v>
      </c>
    </row>
    <row r="162" spans="1:11">
      <c r="A162" s="20">
        <v>26</v>
      </c>
      <c r="B162" s="9" t="s">
        <v>253</v>
      </c>
      <c r="C162" s="12">
        <f t="shared" si="28"/>
        <v>8747344.2745623272</v>
      </c>
      <c r="D162" s="12">
        <f t="shared" si="29"/>
        <v>11624492.204781305</v>
      </c>
      <c r="E162" s="12">
        <f t="shared" si="30"/>
        <v>8021880.1148744002</v>
      </c>
      <c r="F162" s="12">
        <f t="shared" si="31"/>
        <v>4462005.3928569211</v>
      </c>
      <c r="G162" s="12">
        <f t="shared" si="32"/>
        <v>7279778.6634541303</v>
      </c>
      <c r="H162" s="12">
        <f t="shared" si="33"/>
        <v>6976613.1415358055</v>
      </c>
      <c r="I162" s="46">
        <f t="shared" si="26"/>
        <v>47112113.79206489</v>
      </c>
      <c r="J162" s="13">
        <f>Projection!$AA$33</f>
        <v>47127091.059625715</v>
      </c>
      <c r="K162" s="32">
        <f t="shared" si="27"/>
        <v>1.0003179069321093</v>
      </c>
    </row>
    <row r="163" spans="1:11">
      <c r="A163" s="20">
        <v>27</v>
      </c>
      <c r="B163" s="9" t="s">
        <v>254</v>
      </c>
      <c r="C163" s="12">
        <f t="shared" si="28"/>
        <v>8956245.8929067384</v>
      </c>
      <c r="D163" s="12">
        <f t="shared" si="29"/>
        <v>11923336.200753616</v>
      </c>
      <c r="E163" s="12">
        <f t="shared" si="30"/>
        <v>8208599.2113183197</v>
      </c>
      <c r="F163" s="12">
        <f t="shared" si="31"/>
        <v>4583171.9523900906</v>
      </c>
      <c r="G163" s="12">
        <f t="shared" si="32"/>
        <v>7458999.4835398076</v>
      </c>
      <c r="H163" s="12">
        <f t="shared" si="33"/>
        <v>7145972.9147310909</v>
      </c>
      <c r="I163" s="46">
        <f t="shared" si="26"/>
        <v>48276325.655639663</v>
      </c>
      <c r="J163" s="13">
        <f>Projection!$AA$34</f>
        <v>48290909.56446144</v>
      </c>
      <c r="K163" s="32">
        <f t="shared" si="27"/>
        <v>1.0003020923532127</v>
      </c>
    </row>
    <row r="164" spans="1:11">
      <c r="A164" s="20">
        <v>28</v>
      </c>
      <c r="B164" s="9" t="s">
        <v>255</v>
      </c>
      <c r="C164" s="12">
        <f t="shared" si="28"/>
        <v>9167273.6106600966</v>
      </c>
      <c r="D164" s="12">
        <f t="shared" si="29"/>
        <v>12226133.475886891</v>
      </c>
      <c r="E164" s="12">
        <f t="shared" si="30"/>
        <v>8397448.2907685675</v>
      </c>
      <c r="F164" s="12">
        <f t="shared" si="31"/>
        <v>4706506.9085233202</v>
      </c>
      <c r="G164" s="12">
        <f t="shared" si="32"/>
        <v>7640438.5730458302</v>
      </c>
      <c r="H164" s="12">
        <f t="shared" si="33"/>
        <v>7317076.137684145</v>
      </c>
      <c r="I164" s="46">
        <f t="shared" si="26"/>
        <v>49454876.996568844</v>
      </c>
      <c r="J164" s="13">
        <f>Projection!$AA$35</f>
        <v>49468910.712180428</v>
      </c>
      <c r="K164" s="32">
        <f t="shared" si="27"/>
        <v>1.000283768082419</v>
      </c>
    </row>
    <row r="165" spans="1:11">
      <c r="A165" s="20">
        <v>29</v>
      </c>
      <c r="B165" s="9" t="s">
        <v>256</v>
      </c>
      <c r="C165" s="12">
        <f t="shared" si="28"/>
        <v>9380445.9042175096</v>
      </c>
      <c r="D165" s="12">
        <f t="shared" si="29"/>
        <v>12532927.514976436</v>
      </c>
      <c r="E165" s="12">
        <f t="shared" si="30"/>
        <v>8588447.6858804841</v>
      </c>
      <c r="F165" s="12">
        <f t="shared" si="31"/>
        <v>4832044.4392335787</v>
      </c>
      <c r="G165" s="12">
        <f t="shared" si="32"/>
        <v>7824118.7601018334</v>
      </c>
      <c r="H165" s="12">
        <f t="shared" si="33"/>
        <v>7489938.0706351856</v>
      </c>
      <c r="I165" s="46">
        <f t="shared" si="26"/>
        <v>50647922.375045024</v>
      </c>
      <c r="J165" s="13">
        <f>Projection!$AA$36</f>
        <v>50661238.093170643</v>
      </c>
      <c r="K165" s="32">
        <f t="shared" si="27"/>
        <v>1.0002629074896108</v>
      </c>
    </row>
    <row r="166" spans="1:11">
      <c r="A166" s="20">
        <v>30</v>
      </c>
      <c r="B166" s="9" t="s">
        <v>257</v>
      </c>
      <c r="C166" s="12">
        <f t="shared" si="28"/>
        <v>9595781.4023439735</v>
      </c>
      <c r="D166" s="12">
        <f t="shared" si="29"/>
        <v>12843762.240677986</v>
      </c>
      <c r="E166" s="12">
        <f t="shared" si="30"/>
        <v>8781617.9089288171</v>
      </c>
      <c r="F166" s="12">
        <f t="shared" si="31"/>
        <v>4959819.23224233</v>
      </c>
      <c r="G166" s="12">
        <f t="shared" si="32"/>
        <v>8010063.0883426247</v>
      </c>
      <c r="H166" s="12">
        <f t="shared" si="33"/>
        <v>7664574.1002029525</v>
      </c>
      <c r="I166" s="46">
        <f t="shared" si="26"/>
        <v>51855617.972738683</v>
      </c>
      <c r="J166" s="13">
        <f>Projection!$AA$37</f>
        <v>51868036.632542334</v>
      </c>
      <c r="K166" s="32">
        <f t="shared" si="27"/>
        <v>1.0002394853304069</v>
      </c>
    </row>
    <row r="167" spans="1:11">
      <c r="A167" s="20">
        <v>31</v>
      </c>
      <c r="B167" s="9" t="s">
        <v>258</v>
      </c>
      <c r="C167" s="12">
        <f t="shared" si="28"/>
        <v>9813298.8874060418</v>
      </c>
      <c r="D167" s="12">
        <f t="shared" si="29"/>
        <v>13158682.017693225</v>
      </c>
      <c r="E167" s="12">
        <f t="shared" si="30"/>
        <v>8976979.6533313412</v>
      </c>
      <c r="F167" s="12">
        <f t="shared" si="31"/>
        <v>5089866.4924122384</v>
      </c>
      <c r="G167" s="12">
        <f t="shared" si="32"/>
        <v>8198294.8188446295</v>
      </c>
      <c r="H167" s="12">
        <f t="shared" si="33"/>
        <v>7840999.7404086804</v>
      </c>
      <c r="I167" s="46">
        <f t="shared" si="26"/>
        <v>53078121.610096157</v>
      </c>
      <c r="J167" s="13">
        <f>Projection!$AA$38</f>
        <v>53089452.601951458</v>
      </c>
      <c r="K167" s="32">
        <f t="shared" si="27"/>
        <v>1.0002134776346936</v>
      </c>
    </row>
    <row r="168" spans="1:11">
      <c r="A168" s="20">
        <v>32</v>
      </c>
      <c r="B168" s="9" t="s">
        <v>259</v>
      </c>
      <c r="C168" s="12">
        <f t="shared" si="28"/>
        <v>10033017.296613386</v>
      </c>
      <c r="D168" s="12">
        <f t="shared" si="29"/>
        <v>13477731.656993983</v>
      </c>
      <c r="E168" s="12">
        <f t="shared" si="30"/>
        <v>9174553.7951851096</v>
      </c>
      <c r="F168" s="12">
        <f t="shared" si="31"/>
        <v>5222221.9492496643</v>
      </c>
      <c r="G168" s="12">
        <f t="shared" si="32"/>
        <v>8388837.4320792016</v>
      </c>
      <c r="H168" s="12">
        <f t="shared" si="33"/>
        <v>8019230.633708288</v>
      </c>
      <c r="I168" s="46">
        <f t="shared" si="26"/>
        <v>54315592.763829634</v>
      </c>
      <c r="J168" s="13">
        <f>Projection!$AA$39</f>
        <v>54325633.631524734</v>
      </c>
      <c r="K168" s="32">
        <f t="shared" si="27"/>
        <v>1.0001848616057412</v>
      </c>
    </row>
    <row r="169" spans="1:11">
      <c r="A169" s="20">
        <v>33</v>
      </c>
      <c r="B169" s="9" t="s">
        <v>260</v>
      </c>
      <c r="C169" s="12">
        <f t="shared" si="28"/>
        <v>10254955.723270306</v>
      </c>
      <c r="D169" s="12">
        <f t="shared" si="29"/>
        <v>13800956.420085436</v>
      </c>
      <c r="E169" s="12">
        <f t="shared" si="30"/>
        <v>9374361.3948154207</v>
      </c>
      <c r="F169" s="12">
        <f t="shared" si="31"/>
        <v>5356921.8645144412</v>
      </c>
      <c r="G169" s="12">
        <f t="shared" si="32"/>
        <v>8581714.629882941</v>
      </c>
      <c r="H169" s="12">
        <f t="shared" si="33"/>
        <v>8199282.5520328563</v>
      </c>
      <c r="I169" s="46">
        <f t="shared" si="26"/>
        <v>55568192.584601402</v>
      </c>
      <c r="J169" s="13">
        <f>Projection!$AA$40</f>
        <v>55576728.721887253</v>
      </c>
      <c r="K169" s="32">
        <f t="shared" si="27"/>
        <v>1.0001536155287551</v>
      </c>
    </row>
    <row r="170" spans="1:11">
      <c r="A170" s="20">
        <v>34</v>
      </c>
      <c r="B170" s="9" t="s">
        <v>261</v>
      </c>
      <c r="C170" s="12">
        <f t="shared" si="28"/>
        <v>10479133.418037279</v>
      </c>
      <c r="D170" s="12">
        <f t="shared" si="29"/>
        <v>14128402.023308666</v>
      </c>
      <c r="E170" s="12">
        <f t="shared" si="30"/>
        <v>9576423.6983376313</v>
      </c>
      <c r="F170" s="12">
        <f t="shared" si="31"/>
        <v>5494003.0399384685</v>
      </c>
      <c r="G170" s="12">
        <f t="shared" si="32"/>
        <v>8776950.3374451511</v>
      </c>
      <c r="H170" s="12">
        <f t="shared" si="33"/>
        <v>8381171.3978374591</v>
      </c>
      <c r="I170" s="46">
        <f t="shared" si="26"/>
        <v>56836083.914904654</v>
      </c>
      <c r="J170" s="13">
        <f>Projection!$AA$41</f>
        <v>56842888.256293289</v>
      </c>
      <c r="K170" s="32">
        <f t="shared" si="27"/>
        <v>1.0001197186878468</v>
      </c>
    </row>
    <row r="171" spans="1:11">
      <c r="A171" s="20">
        <v>35</v>
      </c>
      <c r="B171" s="9" t="s">
        <v>262</v>
      </c>
      <c r="C171" s="12">
        <f t="shared" si="28"/>
        <v>10705569.790202614</v>
      </c>
      <c r="D171" s="12">
        <f t="shared" si="29"/>
        <v>14460114.642182946</v>
      </c>
      <c r="E171" s="12">
        <f t="shared" si="30"/>
        <v>9780762.1392318979</v>
      </c>
      <c r="F171" s="12">
        <f t="shared" si="31"/>
        <v>5633502.8250546474</v>
      </c>
      <c r="G171" s="12">
        <f t="shared" si="32"/>
        <v>8974568.7053126041</v>
      </c>
      <c r="H171" s="12">
        <f t="shared" si="33"/>
        <v>8564913.2051584125</v>
      </c>
      <c r="I171" s="46">
        <f t="shared" si="26"/>
        <v>58119431.307143115</v>
      </c>
      <c r="J171" s="13">
        <f>Projection!$AA$42</f>
        <v>58124264.012861438</v>
      </c>
      <c r="K171" s="32">
        <f t="shared" si="27"/>
        <v>1.0000831512905346</v>
      </c>
    </row>
    <row r="172" spans="1:11">
      <c r="A172" s="50">
        <v>36</v>
      </c>
      <c r="B172" s="51" t="s">
        <v>263</v>
      </c>
      <c r="C172" s="52">
        <f t="shared" si="28"/>
        <v>10934284.408964319</v>
      </c>
      <c r="D172" s="52">
        <f t="shared" si="29"/>
        <v>14796140.91578809</v>
      </c>
      <c r="E172" s="52">
        <f t="shared" si="30"/>
        <v>9987398.3399309758</v>
      </c>
      <c r="F172" s="52">
        <f t="shared" si="31"/>
        <v>5775459.1251377417</v>
      </c>
      <c r="G172" s="52">
        <f t="shared" si="32"/>
        <v>9174594.111411741</v>
      </c>
      <c r="H172" s="52">
        <f t="shared" si="33"/>
        <v>8750524.1406790186</v>
      </c>
      <c r="I172" s="53">
        <f t="shared" si="26"/>
        <v>59418401.041911885</v>
      </c>
      <c r="J172" s="54">
        <f>Projection!$AA$43</f>
        <v>59421009.176914826</v>
      </c>
      <c r="K172" s="55">
        <f t="shared" si="27"/>
        <v>1.0000438943989944</v>
      </c>
    </row>
    <row r="174" spans="1:11" ht="30" customHeight="1">
      <c r="A174" s="33" t="s">
        <v>264</v>
      </c>
      <c r="B174" s="33" t="s">
        <v>64</v>
      </c>
      <c r="C174" s="33" t="s">
        <v>274</v>
      </c>
      <c r="D174" s="33" t="s">
        <v>275</v>
      </c>
      <c r="E174" s="33" t="s">
        <v>276</v>
      </c>
      <c r="F174" s="33" t="s">
        <v>277</v>
      </c>
      <c r="G174" s="33" t="s">
        <v>278</v>
      </c>
      <c r="H174" s="33" t="s">
        <v>279</v>
      </c>
      <c r="I174" s="33" t="s">
        <v>265</v>
      </c>
    </row>
    <row r="175" spans="1:11">
      <c r="A175" s="9" t="s">
        <v>266</v>
      </c>
      <c r="B175" s="22" t="s">
        <v>82</v>
      </c>
      <c r="C175" s="12">
        <f t="shared" ref="C175:H175" si="34">C148*$K$148</f>
        <v>6037750.5244750204</v>
      </c>
      <c r="D175" s="12">
        <f t="shared" si="34"/>
        <v>7834739.8942450322</v>
      </c>
      <c r="E175" s="12">
        <f t="shared" si="34"/>
        <v>5622149.6449847631</v>
      </c>
      <c r="F175" s="12">
        <f t="shared" si="34"/>
        <v>2976246.9727477981</v>
      </c>
      <c r="G175" s="12">
        <f t="shared" si="34"/>
        <v>4992792.809085072</v>
      </c>
      <c r="H175" s="12">
        <f t="shared" si="34"/>
        <v>4781797.0599239394</v>
      </c>
      <c r="I175" s="46">
        <f>SUM(C175:H175)</f>
        <v>32245476.905461624</v>
      </c>
    </row>
    <row r="176" spans="1:11">
      <c r="A176" s="9" t="s">
        <v>267</v>
      </c>
      <c r="B176" s="22" t="s">
        <v>82</v>
      </c>
      <c r="C176" s="12">
        <f t="shared" ref="C176:H176" si="35">C160*$K$160</f>
        <v>8338698.0548893753</v>
      </c>
      <c r="D176" s="12">
        <f t="shared" si="35"/>
        <v>11042268.778006442</v>
      </c>
      <c r="E176" s="12">
        <f t="shared" si="35"/>
        <v>7657370.2823020257</v>
      </c>
      <c r="F176" s="12">
        <f t="shared" si="35"/>
        <v>4227489.0758158918</v>
      </c>
      <c r="G176" s="12">
        <f t="shared" si="35"/>
        <v>6930271.767170921</v>
      </c>
      <c r="H176" s="12">
        <f t="shared" si="35"/>
        <v>6645336.2622428108</v>
      </c>
      <c r="I176" s="46">
        <f>SUM(C176:H176)</f>
        <v>44841434.220427461</v>
      </c>
    </row>
    <row r="177" spans="1:9">
      <c r="A177" s="9" t="s">
        <v>268</v>
      </c>
      <c r="B177" s="22" t="s">
        <v>82</v>
      </c>
      <c r="C177" s="12">
        <f t="shared" ref="C177:H177" si="36">C172*$K$172</f>
        <v>10934764.362806885</v>
      </c>
      <c r="D177" s="12">
        <f t="shared" si="36"/>
        <v>14796790.383501025</v>
      </c>
      <c r="E177" s="12">
        <f t="shared" si="36"/>
        <v>9987836.7307786252</v>
      </c>
      <c r="F177" s="12">
        <f t="shared" si="36"/>
        <v>5775712.6354449568</v>
      </c>
      <c r="G177" s="12">
        <f t="shared" si="36"/>
        <v>9174996.8247062787</v>
      </c>
      <c r="H177" s="12">
        <f t="shared" si="36"/>
        <v>8750908.2396770604</v>
      </c>
      <c r="I177" s="46">
        <f>SUM(C177:H177)</f>
        <v>59421009.176914826</v>
      </c>
    </row>
    <row r="178" spans="1:9">
      <c r="A178" s="9" t="s">
        <v>269</v>
      </c>
      <c r="B178" s="22" t="s">
        <v>86</v>
      </c>
      <c r="C178" s="18">
        <f t="shared" ref="C178:H178" si="37">C177/$I$177</f>
        <v>0.1840218554728798</v>
      </c>
      <c r="D178" s="18">
        <f t="shared" si="37"/>
        <v>0.24901614072972705</v>
      </c>
      <c r="E178" s="18">
        <f t="shared" si="37"/>
        <v>0.1680859492143886</v>
      </c>
      <c r="F178" s="18">
        <f t="shared" si="37"/>
        <v>9.7199840855089883E-2</v>
      </c>
      <c r="G178" s="18">
        <f t="shared" si="37"/>
        <v>0.15440661395348335</v>
      </c>
      <c r="H178" s="18">
        <f t="shared" si="37"/>
        <v>0.14726959977443138</v>
      </c>
      <c r="I178" s="27">
        <f>SUM(C178:H178)</f>
        <v>1</v>
      </c>
    </row>
    <row r="179" spans="1:9">
      <c r="A179" s="9" t="s">
        <v>270</v>
      </c>
      <c r="B179" s="22" t="s">
        <v>86</v>
      </c>
      <c r="C179" s="18">
        <f t="shared" ref="C179:I179" si="38">(C177/C97)^(1/3)-1</f>
        <v>0.39765259695091149</v>
      </c>
      <c r="D179" s="18">
        <f t="shared" si="38"/>
        <v>0.42537467186860245</v>
      </c>
      <c r="E179" s="18">
        <f t="shared" si="38"/>
        <v>0.37378500193047426</v>
      </c>
      <c r="F179" s="18">
        <f t="shared" si="38"/>
        <v>0.43077240344266676</v>
      </c>
      <c r="G179" s="18">
        <f t="shared" si="38"/>
        <v>0.40209113929657181</v>
      </c>
      <c r="H179" s="18">
        <f t="shared" si="38"/>
        <v>0.40754760081111518</v>
      </c>
      <c r="I179" s="27">
        <f t="shared" si="38"/>
        <v>0.40541369687848583</v>
      </c>
    </row>
    <row r="180" spans="1:9">
      <c r="A180" s="9" t="s">
        <v>271</v>
      </c>
      <c r="B180" s="22" t="s">
        <v>86</v>
      </c>
      <c r="I180" s="27">
        <f>I172/J172-1</f>
        <v>-4.3892472360695933E-5</v>
      </c>
    </row>
    <row r="181" spans="1:9">
      <c r="A181" s="9" t="s">
        <v>272</v>
      </c>
      <c r="I181" s="28" t="str">
        <f>IF(ABS(I97-Hypothèses!$B$6)&lt;1,"OK","KO")</f>
        <v>OK</v>
      </c>
    </row>
    <row r="184" spans="1:9" ht="21.75" customHeight="1">
      <c r="A184" s="14" t="s">
        <v>280</v>
      </c>
      <c r="B184" s="15"/>
      <c r="C184" s="15"/>
      <c r="D184" s="15"/>
      <c r="E184" s="15"/>
      <c r="F184" s="15"/>
      <c r="G184" s="15"/>
      <c r="H184" s="15"/>
      <c r="I184" s="15"/>
    </row>
    <row r="185" spans="1:9" ht="30" customHeight="1">
      <c r="A185" s="33" t="s">
        <v>80</v>
      </c>
      <c r="B185" s="33" t="s">
        <v>64</v>
      </c>
      <c r="C185" s="33" t="s">
        <v>281</v>
      </c>
      <c r="D185" s="33" t="s">
        <v>282</v>
      </c>
      <c r="E185" s="33" t="s">
        <v>283</v>
      </c>
      <c r="F185" s="33" t="s">
        <v>284</v>
      </c>
      <c r="G185" s="33" t="s">
        <v>285</v>
      </c>
      <c r="H185" s="33" t="s">
        <v>187</v>
      </c>
    </row>
    <row r="186" spans="1:9">
      <c r="A186" s="9" t="s">
        <v>188</v>
      </c>
      <c r="B186" s="22" t="s">
        <v>82</v>
      </c>
      <c r="C186" s="13">
        <f>'Données ARR'!AL20*Hypothèses!$B$6/'Données ARR'!$B$42</f>
        <v>2659765.0099999998</v>
      </c>
      <c r="D186" s="13">
        <f>'Données ARR'!AM20*Hypothèses!$B$6/'Données ARR'!$B$42</f>
        <v>3052653.42</v>
      </c>
      <c r="E186" s="13">
        <f>'Données ARR'!AN20*Hypothèses!$B$6/'Données ARR'!$B$42</f>
        <v>5916354.4699999997</v>
      </c>
      <c r="F186" s="13">
        <f>'Données ARR'!AO20*Hypothèses!$B$6/'Données ARR'!$B$42</f>
        <v>4408738.87</v>
      </c>
      <c r="G186" s="13">
        <f>'Données ARR'!AP20*Hypothèses!$B$6/'Données ARR'!$B$42</f>
        <v>5368091.8099999996</v>
      </c>
      <c r="H186" s="46">
        <f t="shared" ref="H186:H201" si="39">SUM(C186:G186)</f>
        <v>21405603.579999998</v>
      </c>
    </row>
    <row r="187" spans="1:9">
      <c r="A187" s="9" t="s">
        <v>189</v>
      </c>
      <c r="B187" s="22" t="s">
        <v>86</v>
      </c>
      <c r="C187" s="18">
        <f>C186/Hypothèses!$B$6</f>
        <v>0.12425554826412628</v>
      </c>
      <c r="D187" s="18">
        <f>D186/Hypothèses!$B$6</f>
        <v>0.14261001364269402</v>
      </c>
      <c r="E187" s="18">
        <f>E186/Hypothèses!$B$6</f>
        <v>0.2763927886978122</v>
      </c>
      <c r="F187" s="18">
        <f>F186/Hypothèses!$B$6</f>
        <v>0.20596190392218697</v>
      </c>
      <c r="G187" s="18">
        <f>G186/Hypothèses!$B$6</f>
        <v>0.25077974500601313</v>
      </c>
      <c r="H187" s="27">
        <f t="shared" si="39"/>
        <v>0.99999999953283258</v>
      </c>
    </row>
    <row r="188" spans="1:9">
      <c r="A188" s="9" t="s">
        <v>190</v>
      </c>
      <c r="B188" s="22" t="s">
        <v>82</v>
      </c>
      <c r="C188" s="13">
        <f>'Données segments'!$G$85</f>
        <v>1110789.6600000001</v>
      </c>
      <c r="D188" s="13">
        <f>'Données segments'!$G$92</f>
        <v>1213287.23</v>
      </c>
      <c r="E188" s="13">
        <f>'Données segments'!$G$99</f>
        <v>1418486.08</v>
      </c>
      <c r="F188" s="13">
        <f>'Données segments'!$G$106</f>
        <v>1599718.1099999999</v>
      </c>
      <c r="G188" s="13">
        <f>'Données segments'!$G$113</f>
        <v>2053973.9800000002</v>
      </c>
      <c r="H188" s="46">
        <f t="shared" si="39"/>
        <v>7396255.0600000005</v>
      </c>
    </row>
    <row r="189" spans="1:9">
      <c r="A189" s="9" t="s">
        <v>191</v>
      </c>
      <c r="B189" s="22" t="s">
        <v>82</v>
      </c>
      <c r="C189" s="13">
        <f>'Données segments'!$G$87</f>
        <v>166592.94</v>
      </c>
      <c r="D189" s="13">
        <f>'Données segments'!$G$94</f>
        <v>155747.46</v>
      </c>
      <c r="E189" s="13">
        <f>'Données segments'!$G$101</f>
        <v>337843.95</v>
      </c>
      <c r="F189" s="13">
        <f>'Données segments'!$G$108</f>
        <v>247789.14</v>
      </c>
      <c r="G189" s="13">
        <f>'Données segments'!$G$115</f>
        <v>280854.80000000005</v>
      </c>
      <c r="H189" s="46">
        <f t="shared" si="39"/>
        <v>1188828.29</v>
      </c>
    </row>
    <row r="190" spans="1:9">
      <c r="A190" s="9" t="s">
        <v>286</v>
      </c>
      <c r="B190" s="22" t="s">
        <v>82</v>
      </c>
      <c r="C190" s="13">
        <f>'Données segments'!$G$86</f>
        <v>283804.30000000005</v>
      </c>
      <c r="D190" s="13">
        <f>'Données segments'!$G$93</f>
        <v>249623.78</v>
      </c>
      <c r="E190" s="13">
        <f>'Données segments'!$G$100</f>
        <v>1562577.61</v>
      </c>
      <c r="F190" s="13">
        <f>'Données segments'!$G$107</f>
        <v>473105.31999999995</v>
      </c>
      <c r="G190" s="13">
        <f>'Données segments'!$G$114</f>
        <v>620557.76</v>
      </c>
      <c r="H190" s="46">
        <f t="shared" si="39"/>
        <v>3189668.7700000005</v>
      </c>
    </row>
    <row r="191" spans="1:9">
      <c r="A191" s="9" t="s">
        <v>192</v>
      </c>
      <c r="B191" s="22" t="s">
        <v>82</v>
      </c>
      <c r="C191" s="13">
        <f>'Données segments'!$G$88</f>
        <v>78386.22</v>
      </c>
      <c r="D191" s="13">
        <f>'Données segments'!$G$95</f>
        <v>66267.7</v>
      </c>
      <c r="E191" s="13">
        <f>'Données segments'!$G$102</f>
        <v>115782.35999999999</v>
      </c>
      <c r="F191" s="13">
        <f>'Données segments'!$G$109</f>
        <v>88084.329999999987</v>
      </c>
      <c r="G191" s="13">
        <f>'Données segments'!$G$116</f>
        <v>96431.32</v>
      </c>
      <c r="H191" s="46">
        <f t="shared" si="39"/>
        <v>444951.93</v>
      </c>
    </row>
    <row r="192" spans="1:9">
      <c r="A192" s="9" t="s">
        <v>193</v>
      </c>
      <c r="B192" s="22" t="s">
        <v>82</v>
      </c>
      <c r="C192" s="13">
        <f>'Données segments'!$G$89+'Données segments'!$G$90</f>
        <v>-539721.19999999995</v>
      </c>
      <c r="D192" s="13">
        <f>'Données segments'!$G$96+'Données segments'!$G$97</f>
        <v>-70814.709999999992</v>
      </c>
      <c r="E192" s="13">
        <f>'Données segments'!$G$103+'Données segments'!$G$104</f>
        <v>-179659.50999999998</v>
      </c>
      <c r="F192" s="13">
        <f>'Données segments'!$G$110+'Données segments'!$G$111</f>
        <v>-283920.64000000001</v>
      </c>
      <c r="G192" s="13">
        <f>'Données segments'!$G$117+'Données segments'!$G$118</f>
        <v>-442478.08999999997</v>
      </c>
      <c r="H192" s="46">
        <f t="shared" si="39"/>
        <v>-1516594.15</v>
      </c>
    </row>
    <row r="193" spans="1:8">
      <c r="A193" s="9" t="s">
        <v>194</v>
      </c>
      <c r="B193" s="22" t="s">
        <v>82</v>
      </c>
      <c r="C193" s="13">
        <f>'Données segments'!$G$91</f>
        <v>-159836.13</v>
      </c>
      <c r="D193" s="13">
        <f>'Données segments'!$G$98</f>
        <v>-173581.12</v>
      </c>
      <c r="E193" s="13">
        <f>'Données segments'!$G$105</f>
        <v>-304875.40000000002</v>
      </c>
      <c r="F193" s="13">
        <f>'Données segments'!$G$112</f>
        <v>-290904.27</v>
      </c>
      <c r="G193" s="13">
        <f>'Données segments'!$G$119</f>
        <v>-196339.97</v>
      </c>
      <c r="H193" s="46">
        <f t="shared" si="39"/>
        <v>-1125536.8900000001</v>
      </c>
    </row>
    <row r="194" spans="1:8">
      <c r="A194" s="9" t="s">
        <v>195</v>
      </c>
      <c r="B194" s="22" t="s">
        <v>82</v>
      </c>
      <c r="C194" s="13">
        <f>SUM('Données ARR'!AL6:AL17)</f>
        <v>27424755.670000002</v>
      </c>
      <c r="D194" s="13">
        <f>SUM('Données ARR'!AM6:AM17)</f>
        <v>25611081.180000003</v>
      </c>
      <c r="E194" s="13">
        <f>SUM('Données ARR'!AN6:AN17)</f>
        <v>48060508.140000001</v>
      </c>
      <c r="F194" s="13">
        <f>SUM('Données ARR'!AO6:AO17)</f>
        <v>39081589.450000003</v>
      </c>
      <c r="G194" s="13">
        <f>SUM('Données ARR'!AP6:AP17)</f>
        <v>46170206.890000001</v>
      </c>
      <c r="H194" s="46">
        <f t="shared" si="39"/>
        <v>186348141.32999998</v>
      </c>
    </row>
    <row r="195" spans="1:8">
      <c r="A195" s="9" t="s">
        <v>196</v>
      </c>
      <c r="B195" s="22" t="s">
        <v>82</v>
      </c>
      <c r="C195" s="12">
        <f>C188*$H$222</f>
        <v>1266220.1727627472</v>
      </c>
      <c r="D195" s="12">
        <f>D188*$H$222</f>
        <v>1383060.0169445532</v>
      </c>
      <c r="E195" s="12">
        <f>E188*$H$222</f>
        <v>1616971.9200295326</v>
      </c>
      <c r="F195" s="12">
        <f>F188*$H$222</f>
        <v>1823563.3752801542</v>
      </c>
      <c r="G195" s="12">
        <f>G188*$H$222</f>
        <v>2341382.3349830131</v>
      </c>
      <c r="H195" s="46">
        <f t="shared" si="39"/>
        <v>8431197.8200000003</v>
      </c>
    </row>
    <row r="196" spans="1:8">
      <c r="A196" s="9" t="s">
        <v>197</v>
      </c>
      <c r="B196" s="22" t="s">
        <v>82</v>
      </c>
      <c r="C196" s="12">
        <f t="shared" ref="C196:G197" si="40">C189*$H$223</f>
        <v>125993.9956270558</v>
      </c>
      <c r="D196" s="12">
        <f t="shared" si="40"/>
        <v>117791.57504612769</v>
      </c>
      <c r="E196" s="12">
        <f t="shared" si="40"/>
        <v>255510.88274765579</v>
      </c>
      <c r="F196" s="12">
        <f t="shared" si="40"/>
        <v>187402.56232702249</v>
      </c>
      <c r="G196" s="12">
        <f t="shared" si="40"/>
        <v>212410.07237784288</v>
      </c>
      <c r="H196" s="46">
        <f t="shared" si="39"/>
        <v>899109.08812570455</v>
      </c>
    </row>
    <row r="197" spans="1:8">
      <c r="A197" s="9" t="s">
        <v>287</v>
      </c>
      <c r="B197" s="22" t="s">
        <v>82</v>
      </c>
      <c r="C197" s="12">
        <f t="shared" si="40"/>
        <v>214640.77489201905</v>
      </c>
      <c r="D197" s="12">
        <f t="shared" si="40"/>
        <v>188790.0978620651</v>
      </c>
      <c r="E197" s="12">
        <f t="shared" si="40"/>
        <v>1181775.1494227506</v>
      </c>
      <c r="F197" s="12">
        <f t="shared" si="40"/>
        <v>357808.85804174433</v>
      </c>
      <c r="G197" s="12">
        <f t="shared" si="40"/>
        <v>469326.9216557169</v>
      </c>
      <c r="H197" s="46">
        <f t="shared" si="39"/>
        <v>2412341.8018742958</v>
      </c>
    </row>
    <row r="198" spans="1:8">
      <c r="A198" s="9" t="s">
        <v>198</v>
      </c>
      <c r="B198" s="22" t="s">
        <v>82</v>
      </c>
      <c r="C198" s="12">
        <f>C191*$H$224</f>
        <v>147527.93399059086</v>
      </c>
      <c r="D198" s="12">
        <f>D191*$H$224</f>
        <v>124720.09584475789</v>
      </c>
      <c r="E198" s="12">
        <f>E191*$H$224</f>
        <v>217909.88726532322</v>
      </c>
      <c r="F198" s="12">
        <f>F191*$H$224</f>
        <v>165780.40402822613</v>
      </c>
      <c r="G198" s="12">
        <f>G191*$H$224</f>
        <v>181489.97887110189</v>
      </c>
      <c r="H198" s="46">
        <f t="shared" si="39"/>
        <v>837428.29999999993</v>
      </c>
    </row>
    <row r="199" spans="1:8">
      <c r="A199" s="9" t="s">
        <v>199</v>
      </c>
      <c r="B199" s="22" t="s">
        <v>82</v>
      </c>
      <c r="C199" s="12">
        <f>C192*$H$225</f>
        <v>-473511.49872097821</v>
      </c>
      <c r="D199" s="12">
        <f>D192*$H$225</f>
        <v>-62127.593771731488</v>
      </c>
      <c r="E199" s="12">
        <f>E192*$H$225</f>
        <v>-157619.97831394538</v>
      </c>
      <c r="F199" s="12">
        <f>F192*$H$225</f>
        <v>-249090.98950387596</v>
      </c>
      <c r="G199" s="12">
        <f>G192*$H$225</f>
        <v>-388197.57968946913</v>
      </c>
      <c r="H199" s="46">
        <f t="shared" si="39"/>
        <v>-1330547.6400000001</v>
      </c>
    </row>
    <row r="200" spans="1:8">
      <c r="A200" s="9" t="s">
        <v>200</v>
      </c>
      <c r="B200" s="22" t="s">
        <v>82</v>
      </c>
      <c r="C200" s="12">
        <f>C193*$H$226</f>
        <v>-235603.90792530138</v>
      </c>
      <c r="D200" s="12">
        <f>D193*$H$226</f>
        <v>-255864.49205227057</v>
      </c>
      <c r="E200" s="12">
        <f>E193*$H$226</f>
        <v>-449396.73946240707</v>
      </c>
      <c r="F200" s="12">
        <f>F193*$H$226</f>
        <v>-428802.81726138521</v>
      </c>
      <c r="G200" s="12">
        <f>G193*$H$226</f>
        <v>-289411.81329863548</v>
      </c>
      <c r="H200" s="46">
        <f t="shared" si="39"/>
        <v>-1659079.7699999996</v>
      </c>
    </row>
    <row r="201" spans="1:8">
      <c r="A201" s="9" t="s">
        <v>201</v>
      </c>
      <c r="B201" s="22" t="s">
        <v>202</v>
      </c>
      <c r="C201" s="12">
        <f>C195/12*INDEX(Hypothèses!$C$31:$E$31,Hypothèses!$B$12)</f>
        <v>105518.34773022892</v>
      </c>
      <c r="D201" s="12">
        <f>D195/12*INDEX(Hypothèses!$C$31:$E$31,Hypothèses!$B$12)</f>
        <v>115255.0014120461</v>
      </c>
      <c r="E201" s="12">
        <f>E195/12*INDEX(Hypothèses!$C$31:$E$31,Hypothèses!$B$12)</f>
        <v>134747.66000246105</v>
      </c>
      <c r="F201" s="12">
        <f>F195/12*INDEX(Hypothèses!$C$31:$E$31,Hypothèses!$B$12)</f>
        <v>151963.6146066795</v>
      </c>
      <c r="G201" s="12">
        <f>G195/12*INDEX(Hypothèses!$C$31:$E$31,Hypothèses!$B$12)</f>
        <v>195115.19458191775</v>
      </c>
      <c r="H201" s="46">
        <f t="shared" si="39"/>
        <v>702599.81833333336</v>
      </c>
    </row>
    <row r="202" spans="1:8">
      <c r="A202" s="9" t="s">
        <v>203</v>
      </c>
      <c r="B202" s="22" t="s">
        <v>86</v>
      </c>
      <c r="C202" s="24">
        <f>C196/C194</f>
        <v>4.5941702140625046E-3</v>
      </c>
      <c r="D202" s="24">
        <f>D196/D194</f>
        <v>4.5992425785644896E-3</v>
      </c>
      <c r="E202" s="24">
        <f>E196/E194</f>
        <v>5.3164415574499125E-3</v>
      </c>
      <c r="F202" s="24">
        <f>F196/F194</f>
        <v>4.795162248116356E-3</v>
      </c>
      <c r="G202" s="24">
        <f>G196/G194</f>
        <v>4.6005874065911702E-3</v>
      </c>
    </row>
    <row r="203" spans="1:8">
      <c r="A203" s="9" t="s">
        <v>288</v>
      </c>
      <c r="B203" s="22" t="s">
        <v>86</v>
      </c>
      <c r="C203" s="24">
        <f>C197/Hypothèses!$B$23</f>
        <v>1.1518267545574448E-3</v>
      </c>
      <c r="D203" s="24">
        <f>D197/Hypothèses!$B$23</f>
        <v>1.0131042707166931E-3</v>
      </c>
      <c r="E203" s="24">
        <f>E197/Hypothèses!$B$23</f>
        <v>6.3417597875382046E-3</v>
      </c>
      <c r="F203" s="24">
        <f>F197/Hypothèses!$B$23</f>
        <v>1.9201096153210553E-3</v>
      </c>
      <c r="G203" s="24">
        <f>G197/Hypothèses!$B$23</f>
        <v>2.5185489815208501E-3</v>
      </c>
    </row>
    <row r="204" spans="1:8">
      <c r="A204" s="9" t="s">
        <v>92</v>
      </c>
      <c r="B204" s="22" t="s">
        <v>86</v>
      </c>
      <c r="C204" s="24">
        <f>C198/C194*INDEX(Hypothèses!$C$34:$E$34,Hypothèses!$B$12)</f>
        <v>5.3793709510408499E-3</v>
      </c>
      <c r="D204" s="24">
        <f>D198/D194*INDEX(Hypothèses!$C$34:$E$34,Hypothèses!$B$12)</f>
        <v>4.8697708217860514E-3</v>
      </c>
      <c r="E204" s="24">
        <f>E198/E194*INDEX(Hypothèses!$C$34:$E$34,Hypothèses!$B$12)</f>
        <v>4.5340737270307858E-3</v>
      </c>
      <c r="F204" s="24">
        <f>F198/F194*INDEX(Hypothèses!$C$34:$E$34,Hypothèses!$B$12)</f>
        <v>4.2419053667282743E-3</v>
      </c>
      <c r="G204" s="24">
        <f>G198/G194*INDEX(Hypothèses!$C$34:$E$34,Hypothèses!$B$12)</f>
        <v>3.9308894435647586E-3</v>
      </c>
    </row>
    <row r="205" spans="1:8">
      <c r="A205" s="9" t="s">
        <v>88</v>
      </c>
      <c r="B205" s="22" t="s">
        <v>86</v>
      </c>
      <c r="C205" s="24">
        <f>-C199/C194</f>
        <v>1.7265842015830736E-2</v>
      </c>
      <c r="D205" s="24">
        <f>-D199/D194</f>
        <v>2.4258090993927919E-3</v>
      </c>
      <c r="E205" s="24">
        <f>-E199/E194</f>
        <v>3.2796153102418149E-3</v>
      </c>
      <c r="F205" s="24">
        <f>-F199/F194</f>
        <v>6.3736146100853109E-3</v>
      </c>
      <c r="G205" s="24">
        <f>-G199/G194</f>
        <v>8.4079670817665056E-3</v>
      </c>
    </row>
    <row r="206" spans="1:8">
      <c r="A206" s="9" t="s">
        <v>89</v>
      </c>
      <c r="B206" s="22" t="s">
        <v>86</v>
      </c>
      <c r="C206" s="24">
        <f>-C200/C194</f>
        <v>8.5909209460352277E-3</v>
      </c>
      <c r="D206" s="24">
        <f>-D200/D194</f>
        <v>9.9903822979592986E-3</v>
      </c>
      <c r="E206" s="24">
        <f>-E200/E194</f>
        <v>9.3506447778978277E-3</v>
      </c>
      <c r="F206" s="24">
        <f>-F200/F194</f>
        <v>1.0971990220868184E-2</v>
      </c>
      <c r="G206" s="24">
        <f>-G200/G194</f>
        <v>6.2683672609082277E-3</v>
      </c>
    </row>
    <row r="207" spans="1:8">
      <c r="A207" s="9" t="s">
        <v>204</v>
      </c>
      <c r="B207" s="22" t="s">
        <v>86</v>
      </c>
      <c r="C207" s="24">
        <f>C202+C197/C194</f>
        <v>1.2420703929614071E-2</v>
      </c>
      <c r="D207" s="24">
        <f>D202+D197/D194</f>
        <v>1.1970664992761261E-2</v>
      </c>
      <c r="E207" s="24">
        <f>E202+E197/E194</f>
        <v>2.9905760213429285E-2</v>
      </c>
      <c r="F207" s="24">
        <f>F202+F197/F194</f>
        <v>1.3950594846361009E-2</v>
      </c>
      <c r="G207" s="24">
        <f>G202+G197/G194</f>
        <v>1.4765734008032291E-2</v>
      </c>
    </row>
    <row r="208" spans="1:8">
      <c r="A208" s="9" t="s">
        <v>205</v>
      </c>
      <c r="B208" s="22" t="s">
        <v>86</v>
      </c>
      <c r="C208" s="18">
        <f>1-(1-C205-C206)^12</f>
        <v>0.26974617986235838</v>
      </c>
      <c r="D208" s="18">
        <f>1-(1-D205-D206)^12</f>
        <v>0.13922918619439439</v>
      </c>
      <c r="E208" s="18">
        <f>1-(1-E205-E206)^12</f>
        <v>0.14146548730315778</v>
      </c>
      <c r="F208" s="18">
        <f>1-(1-F205-F206)^12</f>
        <v>0.18939437742074305</v>
      </c>
      <c r="G208" s="18">
        <f>1-(1-G205-G206)^12</f>
        <v>0.16257298597514969</v>
      </c>
    </row>
    <row r="209" spans="1:8">
      <c r="A209" s="9" t="s">
        <v>206</v>
      </c>
      <c r="B209" s="22" t="s">
        <v>86</v>
      </c>
      <c r="C209" s="18">
        <f>(1+C207)^12-1</f>
        <v>0.15966410426887778</v>
      </c>
      <c r="D209" s="18">
        <f>(1+D207)^12-1</f>
        <v>0.1534933106126064</v>
      </c>
      <c r="E209" s="18">
        <f>(1+E207)^12-1</f>
        <v>0.42419627549488315</v>
      </c>
      <c r="F209" s="18">
        <f>(1+F207)^12-1</f>
        <v>0.18086848430663882</v>
      </c>
      <c r="G209" s="18">
        <f>(1+G207)^12-1</f>
        <v>0.1923109313277096</v>
      </c>
    </row>
    <row r="210" spans="1:8">
      <c r="A210" s="9" t="s">
        <v>207</v>
      </c>
      <c r="B210" s="22" t="s">
        <v>86</v>
      </c>
      <c r="C210" s="18">
        <f>(1+C207-C205-C206)^12</f>
        <v>0.85016428165528435</v>
      </c>
      <c r="D210" s="18">
        <f>(1+D207-D205-D206)^12</f>
        <v>0.99466676429816647</v>
      </c>
      <c r="E210" s="18">
        <f>(1+E207-E205-E206)^12</f>
        <v>1.2281828306216229</v>
      </c>
      <c r="F210" s="18">
        <f>(1+F207-F205-F206)^12</f>
        <v>0.96001205885071461</v>
      </c>
      <c r="G210" s="18">
        <f>(1+G207-G205-G206)^12</f>
        <v>1.0010733236333245</v>
      </c>
    </row>
    <row r="211" spans="1:8">
      <c r="A211" s="9" t="s">
        <v>208</v>
      </c>
      <c r="B211" s="22" t="s">
        <v>86</v>
      </c>
      <c r="C211" s="18">
        <f>MAX(C208+INDEX(Hypothèses!$C$32:$E$32,Hypothèses!$B$12),0)</f>
        <v>0.26974617986235838</v>
      </c>
      <c r="D211" s="18">
        <f>MAX(D208+INDEX(Hypothèses!$C$32:$E$32,Hypothèses!$B$12),0)</f>
        <v>0.13922918619439439</v>
      </c>
      <c r="E211" s="18">
        <f>MAX(E208+INDEX(Hypothèses!$C$32:$E$32,Hypothèses!$B$12),0)</f>
        <v>0.14146548730315778</v>
      </c>
      <c r="F211" s="18">
        <f>MAX(F208+INDEX(Hypothèses!$C$32:$E$32,Hypothèses!$B$12),0)</f>
        <v>0.18939437742074305</v>
      </c>
      <c r="G211" s="18">
        <f>MAX(G208+INDEX(Hypothèses!$C$32:$E$32,Hypothèses!$B$12),0)</f>
        <v>0.16257298597514969</v>
      </c>
    </row>
    <row r="212" spans="1:8">
      <c r="A212" s="9" t="s">
        <v>87</v>
      </c>
      <c r="B212" s="22" t="s">
        <v>86</v>
      </c>
      <c r="C212" s="24">
        <f>1-(1-C211)^(1/12)</f>
        <v>2.5856762961865898E-2</v>
      </c>
      <c r="D212" s="24">
        <f>1-(1-D211)^(1/12)</f>
        <v>1.2416191397352172E-2</v>
      </c>
      <c r="E212" s="24">
        <f>1-(1-E211)^(1/12)</f>
        <v>1.2630260088139611E-2</v>
      </c>
      <c r="F212" s="24">
        <f>1-(1-F211)^(1/12)</f>
        <v>1.7345604830953487E-2</v>
      </c>
      <c r="G212" s="24">
        <f>1-(1-G211)^(1/12)</f>
        <v>1.467633434267468E-2</v>
      </c>
    </row>
    <row r="213" spans="1:8">
      <c r="A213" s="9" t="s">
        <v>209</v>
      </c>
      <c r="B213" s="22" t="s">
        <v>86</v>
      </c>
      <c r="C213" s="24">
        <f>C212*C205/(C205+C206)</f>
        <v>1.7265842015830691E-2</v>
      </c>
      <c r="D213" s="24">
        <f>D212*D205/(D205+D206)</f>
        <v>2.4258090993928079E-3</v>
      </c>
      <c r="E213" s="24">
        <f>E212*E205/(E205+E206)</f>
        <v>3.2796153102418071E-3</v>
      </c>
      <c r="F213" s="24">
        <f>F212*F205/(F205+F206)</f>
        <v>6.3736146100853083E-3</v>
      </c>
      <c r="G213" s="24">
        <f>G212*G205/(G205+G206)</f>
        <v>8.4079670817664744E-3</v>
      </c>
    </row>
    <row r="214" spans="1:8">
      <c r="A214" s="9" t="s">
        <v>210</v>
      </c>
      <c r="B214" s="22" t="s">
        <v>86</v>
      </c>
      <c r="C214" s="24">
        <f>C212*C206/(C205+C206)</f>
        <v>8.5909209460352052E-3</v>
      </c>
      <c r="D214" s="24">
        <f>D212*D206/(D205+D206)</f>
        <v>9.9903822979593628E-3</v>
      </c>
      <c r="E214" s="24">
        <f>E212*E206/(E205+E206)</f>
        <v>9.3506447778978052E-3</v>
      </c>
      <c r="F214" s="24">
        <f>F212*F206/(F205+F206)</f>
        <v>1.0971990220868179E-2</v>
      </c>
      <c r="G214" s="24">
        <f>G212*G206/(G205+G206)</f>
        <v>6.2683672609082043E-3</v>
      </c>
    </row>
    <row r="215" spans="1:8">
      <c r="A215" s="9" t="s">
        <v>211</v>
      </c>
      <c r="B215" s="22" t="s">
        <v>86</v>
      </c>
      <c r="C215" s="18">
        <f>MAX(C209+INDEX(Hypothèses!$C$33:$E$33,Hypothèses!$B$12),0)</f>
        <v>0.15966410426887778</v>
      </c>
      <c r="D215" s="18">
        <f>MAX(D209+INDEX(Hypothèses!$C$33:$E$33,Hypothèses!$B$12),0)</f>
        <v>0.1534933106126064</v>
      </c>
      <c r="E215" s="18">
        <f>MAX(E209+INDEX(Hypothèses!$C$33:$E$33,Hypothèses!$B$12),0)</f>
        <v>0.42419627549488315</v>
      </c>
      <c r="F215" s="18">
        <f>MAX(F209+INDEX(Hypothèses!$C$33:$E$33,Hypothèses!$B$12),0)</f>
        <v>0.18086848430663882</v>
      </c>
      <c r="G215" s="18">
        <f>MAX(G209+INDEX(Hypothèses!$C$33:$E$33,Hypothèses!$B$12),0)</f>
        <v>0.1923109313277096</v>
      </c>
    </row>
    <row r="216" spans="1:8">
      <c r="A216" s="9" t="s">
        <v>212</v>
      </c>
      <c r="B216" s="22" t="s">
        <v>94</v>
      </c>
      <c r="C216" s="48">
        <f>((1+C215)^(1/12)-1)/C207</f>
        <v>0.99999999999999667</v>
      </c>
      <c r="D216" s="48">
        <f>((1+D215)^(1/12)-1)/D207</f>
        <v>1.0000000000000064</v>
      </c>
      <c r="E216" s="48">
        <f>((1+E215)^(1/12)-1)/E207</f>
        <v>1.0000000000000036</v>
      </c>
      <c r="F216" s="48">
        <f>((1+F215)^(1/12)-1)/F207</f>
        <v>0.99999999999999678</v>
      </c>
      <c r="G216" s="48">
        <f>((1+G215)^(1/12)-1)/G207</f>
        <v>0.99999999999999867</v>
      </c>
    </row>
    <row r="217" spans="1:8">
      <c r="A217" s="9" t="s">
        <v>213</v>
      </c>
      <c r="B217" s="22" t="s">
        <v>86</v>
      </c>
      <c r="C217" s="24">
        <f>C202*C216</f>
        <v>4.5941702140624889E-3</v>
      </c>
      <c r="D217" s="24">
        <f>D202*D216</f>
        <v>4.5992425785645191E-3</v>
      </c>
      <c r="E217" s="24">
        <f>E202*E216</f>
        <v>5.3164415574499316E-3</v>
      </c>
      <c r="F217" s="24">
        <f>F202*F216</f>
        <v>4.7951622481163404E-3</v>
      </c>
      <c r="G217" s="24">
        <f>G202*G216</f>
        <v>4.6005874065911641E-3</v>
      </c>
    </row>
    <row r="218" spans="1:8">
      <c r="A218" s="9" t="s">
        <v>289</v>
      </c>
      <c r="B218" s="22" t="s">
        <v>86</v>
      </c>
      <c r="C218" s="24">
        <f>C203*C216</f>
        <v>1.1518267545574409E-3</v>
      </c>
      <c r="D218" s="24">
        <f>D203*D216</f>
        <v>1.0131042707166996E-3</v>
      </c>
      <c r="E218" s="24">
        <f>E203*E216</f>
        <v>6.3417597875382271E-3</v>
      </c>
      <c r="F218" s="24">
        <f>F203*F216</f>
        <v>1.920109615321049E-3</v>
      </c>
      <c r="G218" s="24">
        <f>G203*G216</f>
        <v>2.5185489815208466E-3</v>
      </c>
    </row>
    <row r="219" spans="1:8">
      <c r="A219" s="9" t="s">
        <v>214</v>
      </c>
      <c r="B219" s="22" t="s">
        <v>94</v>
      </c>
      <c r="C219" s="32">
        <f>1+C217+C204-C213-C214</f>
        <v>0.98411677820323729</v>
      </c>
      <c r="D219" s="32">
        <f>1+D217+D204-D213-D214</f>
        <v>0.9970528220029985</v>
      </c>
      <c r="E219" s="32">
        <f>1+E217+E204-E213-E214</f>
        <v>0.99722025519634105</v>
      </c>
      <c r="F219" s="32">
        <f>1+F217+F204-F213-F214</f>
        <v>0.9916914627838912</v>
      </c>
      <c r="G219" s="32">
        <f>1+G217+G204-G213-G214</f>
        <v>0.99385514250748119</v>
      </c>
    </row>
    <row r="220" spans="1:8">
      <c r="A220" s="9" t="s">
        <v>215</v>
      </c>
      <c r="B220" s="22" t="s">
        <v>94</v>
      </c>
      <c r="C220" s="32">
        <f>(1+INDEX(Hypothèses!$C$30:$E$30,Hypothèses!$B$12))^(1/12)</f>
        <v>1.0079741404289038</v>
      </c>
      <c r="D220" s="32">
        <f>(1+INDEX(Hypothèses!$C$30:$E$30,Hypothèses!$B$12))^(1/12)</f>
        <v>1.0079741404289038</v>
      </c>
      <c r="E220" s="32">
        <f>(1+INDEX(Hypothèses!$C$30:$E$30,Hypothèses!$B$12))^(1/12)</f>
        <v>1.0079741404289038</v>
      </c>
      <c r="F220" s="32">
        <f>(1+INDEX(Hypothèses!$C$30:$E$30,Hypothèses!$B$12))^(1/12)</f>
        <v>1.0079741404289038</v>
      </c>
      <c r="G220" s="32">
        <f>(1+INDEX(Hypothèses!$C$30:$E$30,Hypothèses!$B$12))^(1/12)</f>
        <v>1.0079741404289038</v>
      </c>
    </row>
    <row r="221" spans="1:8" ht="25.5">
      <c r="A221" s="23" t="s">
        <v>216</v>
      </c>
    </row>
    <row r="222" spans="1:8">
      <c r="A222" s="23" t="s">
        <v>217</v>
      </c>
      <c r="H222" s="49">
        <f>Hypothèses!$B$16/H188</f>
        <v>1.1399279434800886</v>
      </c>
    </row>
    <row r="223" spans="1:8">
      <c r="A223" s="23" t="s">
        <v>218</v>
      </c>
      <c r="H223" s="49">
        <f>Hypothèses!$B$17/(H189+H190)</f>
        <v>0.75629852998005676</v>
      </c>
    </row>
    <row r="224" spans="1:8">
      <c r="A224" s="23" t="s">
        <v>219</v>
      </c>
      <c r="H224" s="49">
        <f>Hypothèses!$B$18/H191</f>
        <v>1.8820646535907823</v>
      </c>
    </row>
    <row r="225" spans="1:10">
      <c r="A225" s="23" t="s">
        <v>220</v>
      </c>
      <c r="H225" s="49">
        <f>Hypothèses!$B$19/H192</f>
        <v>0.8773261059987606</v>
      </c>
    </row>
    <row r="226" spans="1:10">
      <c r="A226" s="23" t="s">
        <v>221</v>
      </c>
      <c r="H226" s="49">
        <f>Hypothèses!$B$20/H193</f>
        <v>1.4740341118450588</v>
      </c>
    </row>
    <row r="228" spans="1:10" ht="30" customHeight="1">
      <c r="A228" s="33" t="s">
        <v>222</v>
      </c>
      <c r="B228" s="33" t="s">
        <v>223</v>
      </c>
      <c r="C228" s="33" t="s">
        <v>281</v>
      </c>
      <c r="D228" s="33" t="s">
        <v>282</v>
      </c>
      <c r="E228" s="33" t="s">
        <v>283</v>
      </c>
      <c r="F228" s="33" t="s">
        <v>284</v>
      </c>
      <c r="G228" s="33" t="s">
        <v>285</v>
      </c>
      <c r="H228" s="33" t="s">
        <v>224</v>
      </c>
      <c r="I228" s="33" t="s">
        <v>225</v>
      </c>
      <c r="J228" s="33" t="s">
        <v>226</v>
      </c>
    </row>
    <row r="229" spans="1:10">
      <c r="A229" s="20">
        <v>0</v>
      </c>
      <c r="B229" s="9" t="s">
        <v>227</v>
      </c>
      <c r="C229" s="12">
        <f>C186</f>
        <v>2659765.0099999998</v>
      </c>
      <c r="D229" s="12">
        <f>D186</f>
        <v>3052653.42</v>
      </c>
      <c r="E229" s="12">
        <f>E186</f>
        <v>5916354.4699999997</v>
      </c>
      <c r="F229" s="12">
        <f>F186</f>
        <v>4408738.87</v>
      </c>
      <c r="G229" s="12">
        <f>G186</f>
        <v>5368091.8099999996</v>
      </c>
      <c r="H229" s="46">
        <f t="shared" ref="H229:H265" si="41">SUM(C229:G229)</f>
        <v>21405603.579999998</v>
      </c>
      <c r="I229" s="13">
        <f>Projection!$AA$7</f>
        <v>21405603.59</v>
      </c>
      <c r="J229" s="32">
        <f t="shared" ref="J229:J265" si="42">I229/H229</f>
        <v>1.0000000004671674</v>
      </c>
    </row>
    <row r="230" spans="1:10">
      <c r="A230" s="20">
        <v>1</v>
      </c>
      <c r="B230" s="9" t="s">
        <v>228</v>
      </c>
      <c r="C230" s="12">
        <f>C229*C$219+C$201*C$220^$A230+C$218*Projection!$AA$7</f>
        <v>2748534.6851841691</v>
      </c>
      <c r="D230" s="12">
        <f>D229*D$219+D$201*D$220^$A230+D$218*Projection!$AA$7</f>
        <v>3181516.8764008414</v>
      </c>
      <c r="E230" s="12">
        <f>E229*E$219+E$201*E$220^$A230+E$218*Projection!$AA$7</f>
        <v>6171479.867246245</v>
      </c>
      <c r="F230" s="12">
        <f>F229*F$219+F$201*F$220^$A230+F$218*Projection!$AA$7</f>
        <v>4566385.198107047</v>
      </c>
      <c r="G230" s="12">
        <f>G229*G$219+G$201*G$220^$A230+G$218*Projection!$AA$7</f>
        <v>5585687.7824845528</v>
      </c>
      <c r="H230" s="46">
        <f t="shared" si="41"/>
        <v>22253604.409422856</v>
      </c>
      <c r="I230" s="13">
        <f>Projection!$AA$8</f>
        <v>22246967.999648459</v>
      </c>
      <c r="J230" s="32">
        <f t="shared" si="42"/>
        <v>0.99970178270215015</v>
      </c>
    </row>
    <row r="231" spans="1:10">
      <c r="A231" s="20">
        <v>2</v>
      </c>
      <c r="B231" s="9" t="s">
        <v>229</v>
      </c>
      <c r="C231" s="12">
        <f>C230*C$219+C$201*C$220^$A231+C$218*Projection!$AA$8</f>
        <v>2837711.6456748233</v>
      </c>
      <c r="D231" s="12">
        <f>D230*D$219+D$201*D$220^$A231+D$218*Projection!$AA$8</f>
        <v>3311779.327411443</v>
      </c>
      <c r="E231" s="12">
        <f>E230*E$219+E$201*E$220^$A231+E$218*Projection!$AA$8</f>
        <v>6432314.876926396</v>
      </c>
      <c r="F231" s="12">
        <f>F230*F$219+F$201*F$220^$A231+F$218*Projection!$AA$8</f>
        <v>4725558.6698234789</v>
      </c>
      <c r="G231" s="12">
        <f>G230*G$219+G$201*G$220^$A231+G$218*Projection!$AA$8</f>
        <v>5805633.9589390652</v>
      </c>
      <c r="H231" s="46">
        <f t="shared" si="41"/>
        <v>23112998.478775207</v>
      </c>
      <c r="I231" s="13">
        <f>Projection!$AA$9</f>
        <v>23099213.752727423</v>
      </c>
      <c r="J231" s="32">
        <f t="shared" si="42"/>
        <v>0.99940359421299474</v>
      </c>
    </row>
    <row r="232" spans="1:10">
      <c r="A232" s="20">
        <v>3</v>
      </c>
      <c r="B232" s="9" t="s">
        <v>230</v>
      </c>
      <c r="C232" s="12">
        <f>C231*C$219+C$201*C$220^$A232+C$218*Projection!$AA$9</f>
        <v>2927308.7189810462</v>
      </c>
      <c r="D232" s="12">
        <f>D231*D$219+D$201*D$220^$A232+D$218*Projection!$AA$9</f>
        <v>3443455.0610313816</v>
      </c>
      <c r="E232" s="12">
        <f>E231*E$219+E$201*E$220^$A232+E$218*Projection!$AA$9</f>
        <v>6698921.2711531743</v>
      </c>
      <c r="F232" s="12">
        <f>F231*F$219+F$201*F$220^$A232+F$218*Projection!$AA$9</f>
        <v>4886277.2301427666</v>
      </c>
      <c r="G232" s="12">
        <f>G231*G$219+G$201*G$220^$A232+G$218*Projection!$AA$9</f>
        <v>6027955.808598239</v>
      </c>
      <c r="H232" s="46">
        <f t="shared" si="41"/>
        <v>23983918.089906607</v>
      </c>
      <c r="I232" s="13">
        <f>Projection!$AA$10</f>
        <v>23962453.573315348</v>
      </c>
      <c r="J232" s="32">
        <f t="shared" si="42"/>
        <v>0.99910504545125634</v>
      </c>
    </row>
    <row r="233" spans="1:10">
      <c r="A233" s="20">
        <v>4</v>
      </c>
      <c r="B233" s="9" t="s">
        <v>231</v>
      </c>
      <c r="C233" s="12">
        <f>C232*C$219+C$201*C$220^$A233+C$218*Projection!$AA$10</f>
        <v>3017338.712638184</v>
      </c>
      <c r="D233" s="12">
        <f>D232*D$219+D$201*D$220^$A233+D$218*Projection!$AA$10</f>
        <v>3576558.4962583734</v>
      </c>
      <c r="E233" s="12">
        <f>E232*E$219+E$201*E$220^$A233+E$218*Projection!$AA$10</f>
        <v>6971361.434066385</v>
      </c>
      <c r="F233" s="12">
        <f>F232*F$219+F$201*F$220^$A233+F$218*Projection!$AA$10</f>
        <v>5048558.9690720579</v>
      </c>
      <c r="G233" s="12">
        <f>G232*G$219+G$201*G$220^$A233+G$218*Projection!$AA$10</f>
        <v>6252679.0278153289</v>
      </c>
      <c r="H233" s="46">
        <f t="shared" si="41"/>
        <v>24866496.639850326</v>
      </c>
      <c r="I233" s="13">
        <f>Projection!$AA$11</f>
        <v>24836801.245829854</v>
      </c>
      <c r="J233" s="32">
        <f t="shared" si="42"/>
        <v>0.99880580708852718</v>
      </c>
    </row>
    <row r="234" spans="1:10">
      <c r="A234" s="20">
        <v>5</v>
      </c>
      <c r="B234" s="9" t="s">
        <v>232</v>
      </c>
      <c r="C234" s="12">
        <f>C233*C$219+C$201*C$220^$A234+C$218*Projection!$AA$11</f>
        <v>3107814.4161764635</v>
      </c>
      <c r="D234" s="12">
        <f>D233*D$219+D$201*D$220^$A234+D$218*Projection!$AA$11</f>
        <v>3711104.1842461624</v>
      </c>
      <c r="E234" s="12">
        <f>E233*E$219+E$201*E$220^$A234+E$218*Projection!$AA$11</f>
        <v>7249698.3674052134</v>
      </c>
      <c r="F234" s="12">
        <f>F233*F$219+F$201*F$220^$A234+F$218*Projection!$AA$11</f>
        <v>5212422.1230826247</v>
      </c>
      <c r="G234" s="12">
        <f>G233*G$219+G$201*G$220^$A234+G$218*Projection!$AA$11</f>
        <v>6479829.5421322556</v>
      </c>
      <c r="H234" s="46">
        <f t="shared" si="41"/>
        <v>25760868.633042719</v>
      </c>
      <c r="I234" s="13">
        <f>Projection!$AA$12</f>
        <v>25722371.624487415</v>
      </c>
      <c r="J234" s="32">
        <f t="shared" si="42"/>
        <v>0.99850560130158328</v>
      </c>
    </row>
    <row r="235" spans="1:10">
      <c r="A235" s="20">
        <v>6</v>
      </c>
      <c r="B235" s="9" t="s">
        <v>233</v>
      </c>
      <c r="C235" s="12">
        <f>C234*C$219+C$201*C$220^$A235+C$218*Projection!$AA$12</f>
        <v>3198748.6030726684</v>
      </c>
      <c r="D235" s="12">
        <f>D234*D$219+D$201*D$220^$A235+D$218*Projection!$AA$12</f>
        <v>3847106.8094723197</v>
      </c>
      <c r="E235" s="12">
        <f>E234*E$219+E$201*E$220^$A235+E$218*Projection!$AA$12</f>
        <v>7533995.696129417</v>
      </c>
      <c r="F235" s="12">
        <f>F234*F$219+F$201*F$220^$A235+F$218*Projection!$AA$12</f>
        <v>5377885.0765713686</v>
      </c>
      <c r="G235" s="12">
        <f>G234*G$219+G$201*G$220^$A235+G$218*Projection!$AA$12</f>
        <v>6709433.5083671492</v>
      </c>
      <c r="H235" s="46">
        <f t="shared" si="41"/>
        <v>26667169.693612926</v>
      </c>
      <c r="I235" s="13">
        <f>Projection!$AA$13</f>
        <v>26619280.642844804</v>
      </c>
      <c r="J235" s="32">
        <f t="shared" si="42"/>
        <v>0.99820419447139186</v>
      </c>
    </row>
    <row r="236" spans="1:10">
      <c r="A236" s="20">
        <v>7</v>
      </c>
      <c r="B236" s="9" t="s">
        <v>234</v>
      </c>
      <c r="C236" s="12">
        <f>C235*C$219+C$201*C$220^$A236+C$218*Projection!$AA$13</f>
        <v>3290154.0326852622</v>
      </c>
      <c r="D236" s="12">
        <f>D235*D$219+D$201*D$220^$A236+D$218*Projection!$AA$13</f>
        <v>3984581.1909160465</v>
      </c>
      <c r="E236" s="12">
        <f>E235*E$219+E$201*E$220^$A236+E$218*Projection!$AA$13</f>
        <v>7824317.6740898108</v>
      </c>
      <c r="F236" s="12">
        <f>F235*F$219+F$201*F$220^$A236+F$218*Projection!$AA$13</f>
        <v>5544966.3633334693</v>
      </c>
      <c r="G236" s="12">
        <f>G235*G$219+G$201*G$220^$A236+G$218*Projection!$AA$13</f>
        <v>6941517.3167194938</v>
      </c>
      <c r="H236" s="46">
        <f t="shared" si="41"/>
        <v>27585536.577744082</v>
      </c>
      <c r="I236" s="13">
        <f>Projection!$AA$14</f>
        <v>27527645.323422849</v>
      </c>
      <c r="J236" s="32">
        <f t="shared" si="42"/>
        <v>0.997901391036637</v>
      </c>
    </row>
    <row r="237" spans="1:10">
      <c r="A237" s="20">
        <v>8</v>
      </c>
      <c r="B237" s="9" t="s">
        <v>235</v>
      </c>
      <c r="C237" s="12">
        <f>C236*C$219+C$201*C$220^$A237+C$218*Projection!$AA$14</f>
        <v>3382043.4521733448</v>
      </c>
      <c r="D237" s="12">
        <f>D236*D$219+D$201*D$220^$A237+D$218*Projection!$AA$14</f>
        <v>4123542.2832460618</v>
      </c>
      <c r="E237" s="12">
        <f>E236*E$219+E$201*E$220^$A237+E$218*Projection!$AA$14</f>
        <v>8120729.1897484697</v>
      </c>
      <c r="F237" s="12">
        <f>F236*F$219+F$201*F$220^$A237+F$218*Projection!$AA$14</f>
        <v>5713684.6680463105</v>
      </c>
      <c r="G237" s="12">
        <f>G236*G$219+G$201*G$220^$A237+G$218*Projection!$AA$14</f>
        <v>7176107.5928930193</v>
      </c>
      <c r="H237" s="46">
        <f t="shared" si="41"/>
        <v>28516107.186107207</v>
      </c>
      <c r="I237" s="13">
        <f>Projection!$AA$15</f>
        <v>28447583.787413295</v>
      </c>
      <c r="J237" s="32">
        <f t="shared" si="42"/>
        <v>0.99759702829538754</v>
      </c>
    </row>
    <row r="238" spans="1:10">
      <c r="A238" s="20">
        <v>9</v>
      </c>
      <c r="B238" s="9" t="s">
        <v>236</v>
      </c>
      <c r="C238" s="12">
        <f>C237*C$219+C$201*C$220^$A238+C$218*Projection!$AA$15</f>
        <v>3474429.5983998198</v>
      </c>
      <c r="D238" s="12">
        <f>D237*D$219+D$201*D$220^$A238+D$218*Projection!$AA$15</f>
        <v>4264005.1780186584</v>
      </c>
      <c r="E238" s="12">
        <f>E237*E$219+E$201*E$220^$A238+E$218*Projection!$AA$15</f>
        <v>8423295.7719490733</v>
      </c>
      <c r="F238" s="12">
        <f>F237*F$219+F$201*F$220^$A238+F$218*Projection!$AA$15</f>
        <v>5884058.827764756</v>
      </c>
      <c r="G238" s="12">
        <f>G237*G$219+G$201*G$220^$A238+G$218*Projection!$AA$15</f>
        <v>7413231.2002364816</v>
      </c>
      <c r="H238" s="46">
        <f t="shared" si="41"/>
        <v>29459020.57636879</v>
      </c>
      <c r="I238" s="13">
        <f>Projection!$AA$16</f>
        <v>29379215.264469415</v>
      </c>
      <c r="J238" s="32">
        <f t="shared" si="42"/>
        <v>0.99729097198963257</v>
      </c>
    </row>
    <row r="239" spans="1:10">
      <c r="A239" s="20">
        <v>10</v>
      </c>
      <c r="B239" s="9" t="s">
        <v>237</v>
      </c>
      <c r="C239" s="12">
        <f>C238*C$219+C$201*C$220^$A239+C$218*Projection!$AA$16</f>
        <v>3567325.199819156</v>
      </c>
      <c r="D239" s="12">
        <f>D238*D$219+D$201*D$220^$A239+D$218*Projection!$AA$16</f>
        <v>4405985.1048860122</v>
      </c>
      <c r="E239" s="12">
        <f>E238*E$219+E$201*E$220^$A239+E$218*Projection!$AA$16</f>
        <v>8732083.5957378279</v>
      </c>
      <c r="F239" s="12">
        <f>F238*F$219+F$201*F$220^$A239+F$218*Projection!$AA$16</f>
        <v>6056107.8334279126</v>
      </c>
      <c r="G239" s="12">
        <f>G238*G$219+G$201*G$220^$A239+G$218*Projection!$AA$16</f>
        <v>7652915.2419024995</v>
      </c>
      <c r="H239" s="46">
        <f t="shared" si="41"/>
        <v>30414416.975773409</v>
      </c>
      <c r="I239" s="13">
        <f>Projection!$AA$17</f>
        <v>30322660.10258111</v>
      </c>
      <c r="J239" s="32">
        <f t="shared" si="42"/>
        <v>0.99698311253951089</v>
      </c>
    </row>
    <row r="240" spans="1:10">
      <c r="A240" s="20">
        <v>11</v>
      </c>
      <c r="B240" s="9" t="s">
        <v>238</v>
      </c>
      <c r="C240" s="12">
        <f>C239*C$219+C$201*C$220^$A240+C$218*Projection!$AA$17</f>
        <v>3660742.9783501024</v>
      </c>
      <c r="D240" s="12">
        <f>D239*D$219+D$201*D$220^$A240+D$218*Projection!$AA$17</f>
        <v>4549497.4328148356</v>
      </c>
      <c r="E240" s="12">
        <f>E239*E$219+E$201*E$220^$A240+E$218*Projection!$AA$17</f>
        <v>9047159.488235373</v>
      </c>
      <c r="F240" s="12">
        <f>F239*F$219+F$201*F$220^$A240+F$218*Projection!$AA$17</f>
        <v>6229850.8313774653</v>
      </c>
      <c r="G240" s="12">
        <f>G239*G$219+G$201*G$220^$A240+G$218*Projection!$AA$17</f>
        <v>7895187.0630245935</v>
      </c>
      <c r="H240" s="46">
        <f t="shared" si="41"/>
        <v>31382437.793802366</v>
      </c>
      <c r="I240" s="13">
        <f>Projection!$AA$18</f>
        <v>31278039.778035209</v>
      </c>
      <c r="J240" s="32">
        <f t="shared" si="42"/>
        <v>0.99667336181933663</v>
      </c>
    </row>
    <row r="241" spans="1:10">
      <c r="A241" s="50">
        <v>12</v>
      </c>
      <c r="B241" s="51" t="s">
        <v>239</v>
      </c>
      <c r="C241" s="52">
        <f>C240*C$219+C$201*C$220^$A241+C$218*Projection!$AA$18</f>
        <v>3754695.6512337308</v>
      </c>
      <c r="D241" s="52">
        <f>D240*D$219+D$201*D$220^$A241+D$218*Projection!$AA$18</f>
        <v>4694557.671315453</v>
      </c>
      <c r="E241" s="52">
        <f>E240*E$219+E$201*E$220^$A241+E$218*Projection!$AA$18</f>
        <v>9368590.934560148</v>
      </c>
      <c r="F241" s="52">
        <f>F240*F$219+F$201*F$220^$A241+F$218*Projection!$AA$18</f>
        <v>6405307.1248877067</v>
      </c>
      <c r="G241" s="52">
        <f>G240*G$219+G$201*G$220^$A241+G$218*Projection!$AA$18</f>
        <v>8140074.2529125791</v>
      </c>
      <c r="H241" s="53">
        <f t="shared" si="41"/>
        <v>32363225.634909615</v>
      </c>
      <c r="I241" s="54">
        <f>Projection!$AA$19</f>
        <v>32245476.905461632</v>
      </c>
      <c r="J241" s="55">
        <f t="shared" si="42"/>
        <v>0.99636165038750124</v>
      </c>
    </row>
    <row r="242" spans="1:10">
      <c r="A242" s="20">
        <v>13</v>
      </c>
      <c r="B242" s="9" t="s">
        <v>240</v>
      </c>
      <c r="C242" s="12">
        <f>C241*C$219+C$201*C$220^$A242+C$218*Projection!$AA$19</f>
        <v>3849195.9328771611</v>
      </c>
      <c r="D242" s="12">
        <f>D241*D$219+D$201*D$220^$A242+D$218*Projection!$AA$19</f>
        <v>4841181.4716814002</v>
      </c>
      <c r="E242" s="12">
        <f>E241*E$219+E$201*E$220^$A242+E$218*Projection!$AA$19</f>
        <v>9696446.0838036109</v>
      </c>
      <c r="F242" s="12">
        <f>F241*F$219+F$201*F$220^$A242+F$218*Projection!$AA$19</f>
        <v>6582496.1757073607</v>
      </c>
      <c r="G242" s="12">
        <f>G241*G$219+G$201*G$220^$A242+G$218*Projection!$AA$19</f>
        <v>8387604.6472664736</v>
      </c>
      <c r="H242" s="46">
        <f t="shared" si="41"/>
        <v>33356924.311336007</v>
      </c>
      <c r="I242" s="13">
        <f>Projection!$AA$20</f>
        <v>33225095.247966267</v>
      </c>
      <c r="J242" s="32">
        <f t="shared" si="42"/>
        <v>0.99604792509827</v>
      </c>
    </row>
    <row r="243" spans="1:10">
      <c r="A243" s="20">
        <v>14</v>
      </c>
      <c r="B243" s="9" t="s">
        <v>241</v>
      </c>
      <c r="C243" s="12">
        <f>C242*C$219+C$201*C$220^$A243+C$218*Projection!$AA$20</f>
        <v>3944256.5366833298</v>
      </c>
      <c r="D243" s="12">
        <f>D242*D$219+D$201*D$220^$A243+D$218*Projection!$AA$20</f>
        <v>4989384.6282396186</v>
      </c>
      <c r="E243" s="12">
        <f>E242*E$219+E$201*E$220^$A243+E$218*Projection!$AA$20</f>
        <v>10030793.755057791</v>
      </c>
      <c r="F243" s="12">
        <f>F242*F$219+F$201*F$220^$A243+F$218*Projection!$AA$20</f>
        <v>6761437.6056133211</v>
      </c>
      <c r="G243" s="12">
        <f>G242*G$219+G$201*G$220^$A243+G$218*Projection!$AA$20</f>
        <v>8637806.3304090891</v>
      </c>
      <c r="H243" s="46">
        <f t="shared" si="41"/>
        <v>34363678.85600315</v>
      </c>
      <c r="I243" s="13">
        <f>Projection!$AA$21</f>
        <v>34217019.727351137</v>
      </c>
      <c r="J243" s="32">
        <f t="shared" si="42"/>
        <v>0.99573214703621893</v>
      </c>
    </row>
    <row r="244" spans="1:10">
      <c r="A244" s="20">
        <v>15</v>
      </c>
      <c r="B244" s="9" t="s">
        <v>242</v>
      </c>
      <c r="C244" s="12">
        <f>C243*C$219+C$201*C$220^$A244+C$218*Projection!$AA$21</f>
        <v>4039890.1768671502</v>
      </c>
      <c r="D244" s="12">
        <f>D243*D$219+D$201*D$220^$A244+D$218*Projection!$AA$21</f>
        <v>5139183.0796113461</v>
      </c>
      <c r="E244" s="12">
        <f>E243*E$219+E$201*E$220^$A244+E$218*Projection!$AA$21</f>
        <v>10371703.44349559</v>
      </c>
      <c r="F244" s="12">
        <f>F243*F$219+F$201*F$220^$A244+F$218*Projection!$AA$21</f>
        <v>6942151.1979764011</v>
      </c>
      <c r="G244" s="12">
        <f>G243*G$219+G$201*G$220^$A244+G$218*Projection!$AA$21</f>
        <v>8890707.6375374347</v>
      </c>
      <c r="H244" s="46">
        <f t="shared" si="41"/>
        <v>35383635.53548792</v>
      </c>
      <c r="I244" s="13">
        <f>Projection!$AA$22</f>
        <v>35221376.434422687</v>
      </c>
      <c r="J244" s="32">
        <f t="shared" si="42"/>
        <v>0.99541428972434176</v>
      </c>
    </row>
    <row r="245" spans="1:10">
      <c r="A245" s="20">
        <v>16</v>
      </c>
      <c r="B245" s="9" t="s">
        <v>243</v>
      </c>
      <c r="C245" s="12">
        <f>C244*C$219+C$201*C$220^$A245+C$218*Projection!$AA$22</f>
        <v>4136109.5702584116</v>
      </c>
      <c r="D245" s="12">
        <f>D244*D$219+D$201*D$220^$A245+D$218*Projection!$AA$22</f>
        <v>5290592.9099837933</v>
      </c>
      <c r="E245" s="12">
        <f>E244*E$219+E$201*E$220^$A245+E$218*Projection!$AA$22</f>
        <v>10719245.326504309</v>
      </c>
      <c r="F245" s="12">
        <f>F244*F$219+F$201*F$220^$A245+F$218*Projection!$AA$22</f>
        <v>7124656.8993392214</v>
      </c>
      <c r="G245" s="12">
        <f>G244*G$219+G$201*G$220^$A245+G$218*Projection!$AA$22</f>
        <v>9146337.1569931433</v>
      </c>
      <c r="H245" s="46">
        <f t="shared" si="41"/>
        <v>36416941.863078877</v>
      </c>
      <c r="I245" s="13">
        <f>Projection!$AA$23</f>
        <v>36238292.639389008</v>
      </c>
      <c r="J245" s="32">
        <f t="shared" si="42"/>
        <v>0.99509433756514876</v>
      </c>
    </row>
    <row r="246" spans="1:10">
      <c r="A246" s="20">
        <v>17</v>
      </c>
      <c r="B246" s="9" t="s">
        <v>244</v>
      </c>
      <c r="C246" s="12">
        <f>C245*C$219+C$201*C$220^$A246+C$218*Projection!$AA$23</f>
        <v>4232927.4380917624</v>
      </c>
      <c r="D246" s="12">
        <f>D245*D$219+D$201*D$220^$A246+D$218*Projection!$AA$23</f>
        <v>5443630.3503926871</v>
      </c>
      <c r="E246" s="12">
        <f>E245*E$219+E$201*E$220^$A246+E$218*Projection!$AA$23</f>
        <v>11073490.269872824</v>
      </c>
      <c r="F246" s="12">
        <f>F245*F$219+F$201*F$220^$A246+F$218*Projection!$AA$23</f>
        <v>7308974.821006339</v>
      </c>
      <c r="G246" s="12">
        <f>G245*G$219+G$201*G$220^$A246+G$218*Projection!$AA$23</f>
        <v>9404723.7325520106</v>
      </c>
      <c r="H246" s="46">
        <f t="shared" si="41"/>
        <v>37463746.611915626</v>
      </c>
      <c r="I246" s="13">
        <f>Projection!$AA$24</f>
        <v>37267896.80234652</v>
      </c>
      <c r="J246" s="32">
        <f t="shared" si="42"/>
        <v>0.99477228448083688</v>
      </c>
    </row>
    <row r="247" spans="1:10">
      <c r="A247" s="20">
        <v>18</v>
      </c>
      <c r="B247" s="9" t="s">
        <v>245</v>
      </c>
      <c r="C247" s="12">
        <f>C246*C$219+C$201*C$220^$A247+C$218*Projection!$AA$24</f>
        <v>4330356.5077841124</v>
      </c>
      <c r="D247" s="12">
        <f>D246*D$219+D$201*D$220^$A247+D$218*Projection!$AA$24</f>
        <v>5598311.7800157852</v>
      </c>
      <c r="E247" s="12">
        <f>E246*E$219+E$201*E$220^$A247+E$218*Projection!$AA$24</f>
        <v>11434509.834032906</v>
      </c>
      <c r="F247" s="12">
        <f>F246*F$219+F$201*F$220^$A247+F$218*Projection!$AA$24</f>
        <v>7495125.2406467292</v>
      </c>
      <c r="G247" s="12">
        <f>G246*G$219+G$201*G$220^$A247+G$218*Projection!$AA$24</f>
        <v>9665896.4657328948</v>
      </c>
      <c r="H247" s="46">
        <f t="shared" si="41"/>
        <v>38524199.828212425</v>
      </c>
      <c r="I247" s="13">
        <f>Projection!$AA$25</f>
        <v>38310318.583857074</v>
      </c>
      <c r="J247" s="32">
        <f t="shared" si="42"/>
        <v>0.99444813272412946</v>
      </c>
    </row>
    <row r="248" spans="1:10">
      <c r="A248" s="20">
        <v>19</v>
      </c>
      <c r="B248" s="9" t="s">
        <v>246</v>
      </c>
      <c r="C248" s="12">
        <f>C247*C$219+C$201*C$220^$A248+C$218*Projection!$AA$25</f>
        <v>4428409.5146997869</v>
      </c>
      <c r="D248" s="12">
        <f>D247*D$219+D$201*D$220^$A248+D$218*Projection!$AA$25</f>
        <v>5754653.7274774415</v>
      </c>
      <c r="E248" s="12">
        <f>E247*E$219+E$201*E$220^$A248+E$218*Projection!$AA$25</f>
        <v>11802376.280355113</v>
      </c>
      <c r="F248" s="12">
        <f>F247*F$219+F$201*F$220^$A248+F$218*Projection!$AA$25</f>
        <v>7683128.60390874</v>
      </c>
      <c r="G248" s="12">
        <f>G247*G$219+G$201*G$220^$A248+G$218*Projection!$AA$25</f>
        <v>9929884.7181260698</v>
      </c>
      <c r="H248" s="46">
        <f t="shared" si="41"/>
        <v>39598452.84456715</v>
      </c>
      <c r="I248" s="13">
        <f>Projection!$AA$26</f>
        <v>39365688.855616234</v>
      </c>
      <c r="J248" s="32">
        <f t="shared" si="42"/>
        <v>0.99412189183591171</v>
      </c>
    </row>
    <row r="249" spans="1:10">
      <c r="A249" s="20">
        <v>20</v>
      </c>
      <c r="B249" s="9" t="s">
        <v>247</v>
      </c>
      <c r="C249" s="12">
        <f>C248*C$219+C$201*C$220^$A249+C$218*Projection!$AA$26</f>
        <v>4527099.2039037719</v>
      </c>
      <c r="D249" s="12">
        <f>D248*D$219+D$201*D$220^$A249+D$218*Projection!$AA$26</f>
        <v>5912672.8721643239</v>
      </c>
      <c r="E249" s="12">
        <f>E248*E$219+E$201*E$220^$A249+E$218*Projection!$AA$26</f>
        <v>12177162.577499714</v>
      </c>
      <c r="F249" s="12">
        <f>F248*F$219+F$201*F$220^$A249+F$218*Projection!$AA$26</f>
        <v>7873005.5260476386</v>
      </c>
      <c r="G249" s="12">
        <f>G248*G$219+G$201*G$220^$A249+G$218*Projection!$AA$26</f>
        <v>10196718.11374123</v>
      </c>
      <c r="H249" s="46">
        <f t="shared" si="41"/>
        <v>40686658.293356679</v>
      </c>
      <c r="I249" s="13">
        <f>Projection!$AA$27</f>
        <v>40434139.711213335</v>
      </c>
      <c r="J249" s="32">
        <f t="shared" si="42"/>
        <v>0.99379357772951893</v>
      </c>
    </row>
    <row r="250" spans="1:10">
      <c r="A250" s="20">
        <v>21</v>
      </c>
      <c r="B250" s="9" t="s">
        <v>248</v>
      </c>
      <c r="C250" s="12">
        <f>C249*C$219+C$201*C$220^$A250+C$218*Projection!$AA$27</f>
        <v>4626438.3319033626</v>
      </c>
      <c r="D250" s="12">
        <f>D249*D$219+D$201*D$220^$A250+D$218*Projection!$AA$27</f>
        <v>6072386.0455523739</v>
      </c>
      <c r="E250" s="12">
        <f>E249*E$219+E$201*E$220^$A250+E$218*Projection!$AA$27</f>
        <v>12558942.407823171</v>
      </c>
      <c r="F250" s="12">
        <f>F249*F$219+F$201*F$220^$A250+F$218*Projection!$AA$27</f>
        <v>8064776.7935658479</v>
      </c>
      <c r="G250" s="12">
        <f>G249*G$219+G$201*G$220^$A250+G$218*Projection!$AA$27</f>
        <v>10466426.541375332</v>
      </c>
      <c r="H250" s="46">
        <f t="shared" si="41"/>
        <v>41788970.120220087</v>
      </c>
      <c r="I250" s="13">
        <f>Projection!$AA$28</f>
        <v>41515804.47698424</v>
      </c>
      <c r="J250" s="32">
        <f t="shared" si="42"/>
        <v>0.9934632118846195</v>
      </c>
    </row>
    <row r="251" spans="1:10">
      <c r="A251" s="20">
        <v>22</v>
      </c>
      <c r="B251" s="9" t="s">
        <v>249</v>
      </c>
      <c r="C251" s="12">
        <f>C250*C$219+C$201*C$220^$A251+C$218*Projection!$AA$28</f>
        <v>4726439.6683785459</v>
      </c>
      <c r="D251" s="12">
        <f>D250*D$219+D$201*D$220^$A251+D$218*Projection!$AA$28</f>
        <v>6233810.2325451039</v>
      </c>
      <c r="E251" s="12">
        <f>E250*E$219+E$201*E$220^$A251+E$218*Projection!$AA$28</f>
        <v>12947790.173840567</v>
      </c>
      <c r="F251" s="12">
        <f>F250*F$219+F$201*F$220^$A251+F$218*Projection!$AA$28</f>
        <v>8258463.3658660129</v>
      </c>
      <c r="G251" s="12">
        <f>G250*G$219+G$201*G$220^$A251+G$218*Projection!$AA$28</f>
        <v>10739040.157000381</v>
      </c>
      <c r="H251" s="46">
        <f t="shared" si="41"/>
        <v>42905543.597630613</v>
      </c>
      <c r="I251" s="13">
        <f>Projection!$AA$29</f>
        <v>42610817.722957574</v>
      </c>
      <c r="J251" s="32">
        <f t="shared" si="42"/>
        <v>0.99313082063620994</v>
      </c>
    </row>
    <row r="252" spans="1:10">
      <c r="A252" s="20">
        <v>23</v>
      </c>
      <c r="B252" s="9" t="s">
        <v>250</v>
      </c>
      <c r="C252" s="12">
        <f>C251*C$219+C$201*C$220^$A252+C$218*Projection!$AA$29</f>
        <v>4827115.9979014304</v>
      </c>
      <c r="D252" s="12">
        <f>D251*D$219+D$201*D$220^$A252+D$218*Projection!$AA$29</f>
        <v>6396962.5728233326</v>
      </c>
      <c r="E252" s="12">
        <f>E251*E$219+E$201*E$220^$A252+E$218*Projection!$AA$29</f>
        <v>13343781.004744535</v>
      </c>
      <c r="F252" s="12">
        <f>F251*F$219+F$201*F$220^$A252+F$218*Projection!$AA$29</f>
        <v>8454086.3769169934</v>
      </c>
      <c r="G252" s="12">
        <f>G251*G$219+G$201*G$220^$A252+G$218*Projection!$AA$29</f>
        <v>11014589.38617141</v>
      </c>
      <c r="H252" s="46">
        <f t="shared" si="41"/>
        <v>44036535.338557705</v>
      </c>
      <c r="I252" s="13">
        <f>Projection!$AA$30</f>
        <v>43719315.273895159</v>
      </c>
      <c r="J252" s="32">
        <f t="shared" si="42"/>
        <v>0.99279643454636646</v>
      </c>
    </row>
    <row r="253" spans="1:10">
      <c r="A253" s="50">
        <v>24</v>
      </c>
      <c r="B253" s="51" t="s">
        <v>251</v>
      </c>
      <c r="C253" s="52">
        <f>C252*C$219+C$201*C$220^$A253+C$218*Projection!$AA$30</f>
        <v>4928480.1216450417</v>
      </c>
      <c r="D253" s="52">
        <f>D252*D$219+D$201*D$220^$A253+D$218*Projection!$AA$30</f>
        <v>6561860.3622064348</v>
      </c>
      <c r="E253" s="52">
        <f>E252*E$219+E$201*E$220^$A253+E$218*Projection!$AA$30</f>
        <v>13746990.762981107</v>
      </c>
      <c r="F253" s="52">
        <f>F252*F$219+F$201*F$220^$A253+F$218*Projection!$AA$30</f>
        <v>8651667.1369329225</v>
      </c>
      <c r="G253" s="52">
        <f>G252*G$219+G$201*G$220^$A253+G$218*Projection!$AA$30</f>
        <v>11293104.926454755</v>
      </c>
      <c r="H253" s="53">
        <f t="shared" si="41"/>
        <v>45182103.310220264</v>
      </c>
      <c r="I253" s="54">
        <f>Projection!$AA$31</f>
        <v>44841434.220427461</v>
      </c>
      <c r="J253" s="55">
        <f t="shared" si="42"/>
        <v>0.99246008784819584</v>
      </c>
    </row>
    <row r="254" spans="1:10">
      <c r="A254" s="20">
        <v>25</v>
      </c>
      <c r="B254" s="9" t="s">
        <v>252</v>
      </c>
      <c r="C254" s="12">
        <f>C253*C$219+C$201*C$220^$A254+C$218*Projection!$AA$31</f>
        <v>5030544.859081788</v>
      </c>
      <c r="D254" s="12">
        <f>D253*D$219+D$201*D$220^$A254+D$218*Projection!$AA$31</f>
        <v>6728521.0540252319</v>
      </c>
      <c r="E254" s="12">
        <f>E253*E$219+E$201*E$220^$A254+E$218*Projection!$AA$31</f>
        <v>14157496.050883014</v>
      </c>
      <c r="F254" s="12">
        <f>F253*F$219+F$201*F$220^$A254+F$218*Projection!$AA$31</f>
        <v>8851227.1340654194</v>
      </c>
      <c r="G254" s="12">
        <f>G253*G$219+G$201*G$220^$A254+G$218*Projection!$AA$31</f>
        <v>11574617.749876846</v>
      </c>
      <c r="H254" s="46">
        <f t="shared" si="41"/>
        <v>46342406.847932294</v>
      </c>
      <c r="I254" s="13">
        <f>Projection!$AA$32</f>
        <v>45977312.930284888</v>
      </c>
      <c r="J254" s="32">
        <f t="shared" si="42"/>
        <v>0.99212181795292975</v>
      </c>
    </row>
    <row r="255" spans="1:10">
      <c r="A255" s="20">
        <v>26</v>
      </c>
      <c r="B255" s="9" t="s">
        <v>253</v>
      </c>
      <c r="C255" s="12">
        <f>C254*C$219+C$201*C$220^$A255+C$218*Projection!$AA$32</f>
        <v>5133323.0496719088</v>
      </c>
      <c r="D255" s="12">
        <f>D254*D$219+D$201*D$220^$A255+D$218*Projection!$AA$32</f>
        <v>6896962.2605065983</v>
      </c>
      <c r="E255" s="12">
        <f>E254*E$219+E$201*E$220^$A255+E$218*Projection!$AA$32</f>
        <v>14575374.217360895</v>
      </c>
      <c r="F255" s="12">
        <f>F254*F$219+F$201*F$220^$A255+F$218*Projection!$AA$32</f>
        <v>9052788.0361091234</v>
      </c>
      <c r="G255" s="12">
        <f>G254*G$219+G$201*G$220^$A255+G$218*Projection!$AA$32</f>
        <v>11859159.105393659</v>
      </c>
      <c r="H255" s="46">
        <f t="shared" si="41"/>
        <v>47517606.669042185</v>
      </c>
      <c r="I255" s="13">
        <f>Projection!$AA$33</f>
        <v>47127091.059625715</v>
      </c>
      <c r="J255" s="32">
        <f t="shared" si="42"/>
        <v>0.99178166501237341</v>
      </c>
    </row>
    <row r="256" spans="1:10">
      <c r="A256" s="20">
        <v>27</v>
      </c>
      <c r="B256" s="9" t="s">
        <v>254</v>
      </c>
      <c r="C256" s="12">
        <f>C255*C$219+C$201*C$220^$A256+C$218*Projection!$AA$33</f>
        <v>5236827.5545421978</v>
      </c>
      <c r="D256" s="12">
        <f>D255*D$219+D$201*D$220^$A256+D$218*Projection!$AA$33</f>
        <v>7067201.7541698897</v>
      </c>
      <c r="E256" s="12">
        <f>E255*E$219+E$201*E$220^$A256+E$218*Projection!$AA$33</f>
        <v>15000703.364652935</v>
      </c>
      <c r="F256" s="12">
        <f>F255*F$219+F$201*F$220^$A256+F$218*Projection!$AA$33</f>
        <v>9256371.6922206227</v>
      </c>
      <c r="G256" s="12">
        <f>G255*G$219+G$201*G$220^$A256+G$218*Projection!$AA$33</f>
        <v>12146760.521381026</v>
      </c>
      <c r="H256" s="46">
        <f t="shared" si="41"/>
        <v>48707864.886966676</v>
      </c>
      <c r="I256" s="13">
        <f>Projection!$AA$34</f>
        <v>48290909.56446144</v>
      </c>
      <c r="J256" s="32">
        <f t="shared" si="42"/>
        <v>0.99143967152999135</v>
      </c>
    </row>
    <row r="257" spans="1:10">
      <c r="A257" s="20">
        <v>28</v>
      </c>
      <c r="B257" s="9" t="s">
        <v>255</v>
      </c>
      <c r="C257" s="12">
        <f>C256*C$219+C$201*C$220^$A257+C$218*Projection!$AA$34</f>
        <v>5341071.2581553143</v>
      </c>
      <c r="D257" s="12">
        <f>D256*D$219+D$201*D$220^$A257+D$218*Projection!$AA$34</f>
        <v>7239257.469235287</v>
      </c>
      <c r="E257" s="12">
        <f>E256*E$219+E$201*E$220^$A257+E$218*Projection!$AA$34</f>
        <v>15433562.355133386</v>
      </c>
      <c r="F257" s="12">
        <f>F256*F$219+F$201*F$220^$A257+F$218*Projection!$AA$34</f>
        <v>9462000.1346509252</v>
      </c>
      <c r="G257" s="12">
        <f>G256*G$219+G$201*G$220^$A257+G$218*Projection!$AA$34</f>
        <v>12437453.808145957</v>
      </c>
      <c r="H257" s="46">
        <f t="shared" si="41"/>
        <v>49913345.025320865</v>
      </c>
      <c r="I257" s="13">
        <f>Projection!$AA$35</f>
        <v>49468910.712180428</v>
      </c>
      <c r="J257" s="32">
        <f t="shared" si="42"/>
        <v>0.99109588201482035</v>
      </c>
    </row>
    <row r="258" spans="1:10">
      <c r="A258" s="20">
        <v>29</v>
      </c>
      <c r="B258" s="9" t="s">
        <v>256</v>
      </c>
      <c r="C258" s="12">
        <f>C257*C$219+C$201*C$220^$A258+C$218*Projection!$AA$35</f>
        <v>5446067.0699699642</v>
      </c>
      <c r="D258" s="12">
        <f>D257*D$219+D$201*D$220^$A258+D$218*Projection!$AA$35</f>
        <v>7413147.5030441703</v>
      </c>
      <c r="E258" s="12">
        <f>E257*E$219+E$201*E$220^$A258+E$218*Projection!$AA$35</f>
        <v>15874030.818180524</v>
      </c>
      <c r="F258" s="12">
        <f>F257*F$219+F$201*F$220^$A258+F$218*Projection!$AA$35</f>
        <v>9669695.5804916006</v>
      </c>
      <c r="G258" s="12">
        <f>G257*G$219+G$201*G$220^$A258+G$218*Projection!$AA$35</f>
        <v>12731271.060459169</v>
      </c>
      <c r="H258" s="46">
        <f t="shared" si="41"/>
        <v>51134212.032145426</v>
      </c>
      <c r="I258" s="13">
        <f>Projection!$AA$36</f>
        <v>50661238.093170643</v>
      </c>
      <c r="J258" s="32">
        <f t="shared" si="42"/>
        <v>0.99075034267317064</v>
      </c>
    </row>
    <row r="259" spans="1:10">
      <c r="A259" s="20">
        <v>30</v>
      </c>
      <c r="B259" s="9" t="s">
        <v>257</v>
      </c>
      <c r="C259" s="12">
        <f>C258*C$219+C$201*C$220^$A259+C$218*Projection!$AA$36</f>
        <v>5551827.9260922531</v>
      </c>
      <c r="D259" s="12">
        <f>D258*D$219+D$201*D$220^$A259+D$218*Projection!$AA$36</f>
        <v>7588890.1174916076</v>
      </c>
      <c r="E259" s="12">
        <f>E258*E$219+E$201*E$220^$A259+E$218*Projection!$AA$36</f>
        <v>16322189.157104507</v>
      </c>
      <c r="F259" s="12">
        <f>F258*F$219+F$201*F$220^$A259+F$218*Projection!$AA$36</f>
        <v>9879480.4334346876</v>
      </c>
      <c r="G259" s="12">
        <f>G258*G$219+G$201*G$220^$A259+G$218*Projection!$AA$36</f>
        <v>13028244.660109006</v>
      </c>
      <c r="H259" s="46">
        <f t="shared" si="41"/>
        <v>52370632.294232063</v>
      </c>
      <c r="I259" s="13">
        <f>Projection!$AA$37</f>
        <v>51868036.632542334</v>
      </c>
      <c r="J259" s="32">
        <f t="shared" si="42"/>
        <v>0.99040310113374208</v>
      </c>
    </row>
    <row r="260" spans="1:10">
      <c r="A260" s="20">
        <v>31</v>
      </c>
      <c r="B260" s="9" t="s">
        <v>258</v>
      </c>
      <c r="C260" s="12">
        <f>C259*C$219+C$201*C$220^$A260+C$218*Projection!$AA$37</f>
        <v>5658366.7909184918</v>
      </c>
      <c r="D260" s="12">
        <f>D259*D$219+D$201*D$220^$A260+D$218*Projection!$AA$37</f>
        <v>7766503.7404710688</v>
      </c>
      <c r="E260" s="12">
        <f>E259*E$219+E$201*E$220^$A260+E$218*Projection!$AA$37</f>
        <v>16778118.556135673</v>
      </c>
      <c r="F260" s="12">
        <f>F259*F$219+F$201*F$220^$A260+F$218*Projection!$AA$37</f>
        <v>10091377.285546534</v>
      </c>
      <c r="G260" s="12">
        <f>G259*G$219+G$201*G$220^$A260+G$218*Projection!$AA$37</f>
        <v>13328407.278476916</v>
      </c>
      <c r="H260" s="46">
        <f t="shared" si="41"/>
        <v>53622773.651548684</v>
      </c>
      <c r="I260" s="13">
        <f>Projection!$AA$38</f>
        <v>53089452.601951458</v>
      </c>
      <c r="J260" s="32">
        <f t="shared" si="42"/>
        <v>0.99005420620233386</v>
      </c>
    </row>
    <row r="261" spans="1:10">
      <c r="A261" s="20">
        <v>32</v>
      </c>
      <c r="B261" s="9" t="s">
        <v>259</v>
      </c>
      <c r="C261" s="12">
        <f>C260*C$219+C$201*C$220^$A261+C$218*Projection!$AA$38</f>
        <v>5765696.6587697454</v>
      </c>
      <c r="D261" s="12">
        <f>D260*D$219+D$201*D$220^$A261+D$218*Projection!$AA$38</f>
        <v>7946006.9673314616</v>
      </c>
      <c r="E261" s="12">
        <f>E260*E$219+E$201*E$220^$A261+E$218*Projection!$AA$38</f>
        <v>17241900.987473756</v>
      </c>
      <c r="F261" s="12">
        <f>F260*F$219+F$201*F$220^$A261+F$218*Projection!$AA$38</f>
        <v>10305408.919055654</v>
      </c>
      <c r="G261" s="12">
        <f>G260*G$219+G$201*G$220^$A261+G$218*Projection!$AA$38</f>
        <v>13631791.879134679</v>
      </c>
      <c r="H261" s="46">
        <f t="shared" si="41"/>
        <v>54890805.411765292</v>
      </c>
      <c r="I261" s="13">
        <f>Projection!$AA$39</f>
        <v>54325633.631524734</v>
      </c>
      <c r="J261" s="32">
        <f t="shared" si="42"/>
        <v>0.98970370764282101</v>
      </c>
    </row>
    <row r="262" spans="1:10">
      <c r="A262" s="20">
        <v>33</v>
      </c>
      <c r="B262" s="9" t="s">
        <v>260</v>
      </c>
      <c r="C262" s="12">
        <f>C261*C$219+C$201*C$220^$A262+C$218*Projection!$AA$39</f>
        <v>5873830.5555184064</v>
      </c>
      <c r="D262" s="12">
        <f>D261*D$219+D$201*D$220^$A262+D$218*Projection!$AA$39</f>
        <v>8127418.5623466019</v>
      </c>
      <c r="E262" s="12">
        <f>E261*E$219+E$201*E$220^$A262+E$218*Projection!$AA$39</f>
        <v>17713619.218398586</v>
      </c>
      <c r="F262" s="12">
        <f>F261*F$219+F$201*F$220^$A262+F$218*Projection!$AA$39</f>
        <v>10521598.308154758</v>
      </c>
      <c r="G262" s="12">
        <f>G261*G$219+G$201*G$220^$A262+G$218*Projection!$AA$39</f>
        <v>13938431.720463559</v>
      </c>
      <c r="H262" s="46">
        <f t="shared" si="41"/>
        <v>56174898.36488191</v>
      </c>
      <c r="I262" s="13">
        <f>Projection!$AA$40</f>
        <v>55576728.721887253</v>
      </c>
      <c r="J262" s="32">
        <f t="shared" si="42"/>
        <v>0.98935165598148</v>
      </c>
    </row>
    <row r="263" spans="1:10">
      <c r="A263" s="20">
        <v>34</v>
      </c>
      <c r="B263" s="9" t="s">
        <v>261</v>
      </c>
      <c r="C263" s="12">
        <f>C262*C$219+C$201*C$220^$A263+C$218*Projection!$AA$40</f>
        <v>5982781.5402070675</v>
      </c>
      <c r="D263" s="12">
        <f>D262*D$219+D$201*D$220^$A263+D$218*Projection!$AA$40</f>
        <v>8310757.4601972103</v>
      </c>
      <c r="E263" s="12">
        <f>E262*E$219+E$201*E$220^$A263+E$218*Projection!$AA$40</f>
        <v>18193356.818442751</v>
      </c>
      <c r="F263" s="12">
        <f>F262*F$219+F$201*F$220^$A263+F$218*Projection!$AA$40</f>
        <v>10739968.620817071</v>
      </c>
      <c r="G263" s="12">
        <f>G262*G$219+G$201*G$220^$A263+G$218*Projection!$AA$40</f>
        <v>14248360.358295586</v>
      </c>
      <c r="H263" s="46">
        <f t="shared" si="41"/>
        <v>57475224.797959685</v>
      </c>
      <c r="I263" s="13">
        <f>Projection!$AA$41</f>
        <v>56842888.256293289</v>
      </c>
      <c r="J263" s="32">
        <f t="shared" si="42"/>
        <v>0.98899810233210528</v>
      </c>
    </row>
    <row r="264" spans="1:10">
      <c r="A264" s="20">
        <v>35</v>
      </c>
      <c r="B264" s="9" t="s">
        <v>262</v>
      </c>
      <c r="C264" s="12">
        <f>C263*C$219+C$201*C$220^$A264+C$218*Projection!$AA$41</f>
        <v>6092562.7066599727</v>
      </c>
      <c r="D264" s="12">
        <f>D263*D$219+D$201*D$220^$A264+D$218*Projection!$AA$41</f>
        <v>8496042.7674655523</v>
      </c>
      <c r="E264" s="12">
        <f>E263*E$219+E$201*E$220^$A264+E$218*Projection!$AA$41</f>
        <v>18681198.166626751</v>
      </c>
      <c r="F264" s="12">
        <f>F263*F$219+F$201*F$220^$A264+F$218*Projection!$AA$41</f>
        <v>10960543.220627068</v>
      </c>
      <c r="G264" s="12">
        <f>G263*G$219+G$201*G$220^$A264+G$218*Projection!$AA$41</f>
        <v>14561611.648577135</v>
      </c>
      <c r="H264" s="46">
        <f t="shared" si="41"/>
        <v>58791958.509956479</v>
      </c>
      <c r="I264" s="13">
        <f>Projection!$AA$42</f>
        <v>58124264.012861438</v>
      </c>
      <c r="J264" s="32">
        <f t="shared" si="42"/>
        <v>0.98864309823966889</v>
      </c>
    </row>
    <row r="265" spans="1:10">
      <c r="A265" s="50">
        <v>36</v>
      </c>
      <c r="B265" s="51" t="s">
        <v>263</v>
      </c>
      <c r="C265" s="52">
        <f>C264*C$219+C$201*C$220^$A265+C$218*Projection!$AA$42</f>
        <v>6203187.1850873167</v>
      </c>
      <c r="D265" s="52">
        <f>D264*D$219+D$201*D$220^$A265+D$218*Projection!$AA$42</f>
        <v>8683293.7641428225</v>
      </c>
      <c r="E265" s="52">
        <f>E264*E$219+E$201*E$220^$A265+E$218*Projection!$AA$42</f>
        <v>19177228.458757244</v>
      </c>
      <c r="F265" s="52">
        <f>F264*F$219+F$201*F$220^$A265+F$218*Projection!$AA$42</f>
        <v>11183345.668625765</v>
      </c>
      <c r="G265" s="52">
        <f>G264*G$219+G$201*G$220^$A265+G$218*Projection!$AA$42</f>
        <v>14878219.750055</v>
      </c>
      <c r="H265" s="53">
        <f t="shared" si="41"/>
        <v>60125274.826668151</v>
      </c>
      <c r="I265" s="54">
        <f>Projection!$AA$43</f>
        <v>59421009.176914826</v>
      </c>
      <c r="J265" s="55">
        <f t="shared" si="42"/>
        <v>0.98828669554054238</v>
      </c>
    </row>
    <row r="267" spans="1:10" ht="30" customHeight="1">
      <c r="A267" s="33" t="s">
        <v>264</v>
      </c>
      <c r="B267" s="33" t="s">
        <v>64</v>
      </c>
      <c r="C267" s="33" t="s">
        <v>281</v>
      </c>
      <c r="D267" s="33" t="s">
        <v>282</v>
      </c>
      <c r="E267" s="33" t="s">
        <v>283</v>
      </c>
      <c r="F267" s="33" t="s">
        <v>284</v>
      </c>
      <c r="G267" s="33" t="s">
        <v>285</v>
      </c>
      <c r="H267" s="33" t="s">
        <v>265</v>
      </c>
    </row>
    <row r="268" spans="1:10">
      <c r="A268" s="9" t="s">
        <v>266</v>
      </c>
      <c r="B268" s="22" t="s">
        <v>82</v>
      </c>
      <c r="C268" s="12">
        <f>C241*$J$241</f>
        <v>3741034.7557660136</v>
      </c>
      <c r="D268" s="12">
        <f>D241*$J$241</f>
        <v>4677477.2292311694</v>
      </c>
      <c r="E268" s="12">
        <f>E241*$J$241</f>
        <v>9334504.7253637314</v>
      </c>
      <c r="F268" s="12">
        <f>F241*$J$241</f>
        <v>6382002.3781919358</v>
      </c>
      <c r="G268" s="12">
        <f>G241*$J$241</f>
        <v>8110457.8169087833</v>
      </c>
      <c r="H268" s="46">
        <f>SUM(C268:G268)</f>
        <v>32245476.905461635</v>
      </c>
    </row>
    <row r="269" spans="1:10">
      <c r="A269" s="9" t="s">
        <v>267</v>
      </c>
      <c r="B269" s="22" t="s">
        <v>82</v>
      </c>
      <c r="C269" s="12">
        <f>C253*$J$253</f>
        <v>4891319.8144859252</v>
      </c>
      <c r="D269" s="12">
        <f>D253*$J$253</f>
        <v>6512384.5115229925</v>
      </c>
      <c r="E269" s="12">
        <f>E253*$J$253</f>
        <v>13643339.660276568</v>
      </c>
      <c r="F269" s="12">
        <f>F253*$J$253</f>
        <v>8586434.326753797</v>
      </c>
      <c r="G269" s="12">
        <f>G253*$J$253</f>
        <v>11207955.907388179</v>
      </c>
      <c r="H269" s="46">
        <f>SUM(C269:G269)</f>
        <v>44841434.220427461</v>
      </c>
    </row>
    <row r="270" spans="1:10">
      <c r="A270" s="9" t="s">
        <v>268</v>
      </c>
      <c r="B270" s="22" t="s">
        <v>82</v>
      </c>
      <c r="C270" s="12">
        <f>C265*$J$265</f>
        <v>6130527.364969383</v>
      </c>
      <c r="D270" s="12">
        <f>D265*$J$265</f>
        <v>8581583.7005725075</v>
      </c>
      <c r="E270" s="12">
        <f>E265*$J$265</f>
        <v>18952599.743131246</v>
      </c>
      <c r="F270" s="12">
        <f>F265*$J$265</f>
        <v>11052351.735933794</v>
      </c>
      <c r="G270" s="12">
        <f>G265*$J$265</f>
        <v>14703946.632307891</v>
      </c>
      <c r="H270" s="46">
        <f>SUM(C270:G270)</f>
        <v>59421009.176914826</v>
      </c>
    </row>
    <row r="271" spans="1:10">
      <c r="A271" s="9" t="s">
        <v>269</v>
      </c>
      <c r="B271" s="22" t="s">
        <v>86</v>
      </c>
      <c r="C271" s="18">
        <f>C270/$H$270</f>
        <v>0.10317104084713365</v>
      </c>
      <c r="D271" s="18">
        <f>D270/$H$270</f>
        <v>0.1444200261732759</v>
      </c>
      <c r="E271" s="18">
        <f>E270/$H$270</f>
        <v>0.31895452476586961</v>
      </c>
      <c r="F271" s="18">
        <f>F270/$H$270</f>
        <v>0.18600074096734887</v>
      </c>
      <c r="G271" s="18">
        <f>G270/$H$270</f>
        <v>0.24745366724637188</v>
      </c>
      <c r="H271" s="27">
        <f>SUM(C271:G271)</f>
        <v>0.99999999999999989</v>
      </c>
    </row>
    <row r="272" spans="1:10">
      <c r="A272" s="9" t="s">
        <v>270</v>
      </c>
      <c r="B272" s="22" t="s">
        <v>86</v>
      </c>
      <c r="C272" s="18">
        <f t="shared" ref="C272:H272" si="43">(C270/C186)^(1/3)-1</f>
        <v>0.32094536589771439</v>
      </c>
      <c r="D272" s="18">
        <f t="shared" si="43"/>
        <v>0.41133457466629531</v>
      </c>
      <c r="E272" s="18">
        <f t="shared" si="43"/>
        <v>0.47413820390417372</v>
      </c>
      <c r="F272" s="18">
        <f t="shared" si="43"/>
        <v>0.35845974570918737</v>
      </c>
      <c r="G272" s="18">
        <f t="shared" si="43"/>
        <v>0.39917271551391864</v>
      </c>
      <c r="H272" s="27">
        <f t="shared" si="43"/>
        <v>0.40541369665963112</v>
      </c>
    </row>
    <row r="273" spans="1:8">
      <c r="A273" s="9" t="s">
        <v>271</v>
      </c>
      <c r="B273" s="22" t="s">
        <v>86</v>
      </c>
      <c r="H273" s="27">
        <f>H265/I265-1</f>
        <v>1.1852132091134671E-2</v>
      </c>
    </row>
    <row r="274" spans="1:8">
      <c r="A274" s="9" t="s">
        <v>272</v>
      </c>
      <c r="H274" s="28" t="str">
        <f>IF(ABS(H186-Hypothèses!$B$6)&lt;1,"OK","KO")</f>
        <v>OK</v>
      </c>
    </row>
  </sheetData>
  <conditionalFormatting sqref="A1:M22">
    <cfRule type="cellIs" dxfId="3" priority="2" operator="equal">
      <formula>"OK"</formula>
    </cfRule>
    <cfRule type="cellIs" dxfId="2" priority="3" operator="equal">
      <formula>"KO"</formula>
    </cfRule>
  </conditionalFormatting>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A63E"/>
  </sheetPr>
  <dimension ref="A1:E24"/>
  <sheetViews>
    <sheetView showGridLines="0" zoomScaleNormal="100" workbookViewId="0">
      <selection activeCell="B7" sqref="B7"/>
    </sheetView>
  </sheetViews>
  <sheetFormatPr baseColWidth="10" defaultColWidth="8.6640625" defaultRowHeight="14.25"/>
  <cols>
    <col min="1" max="1" width="78" customWidth="1"/>
    <col min="2" max="3" width="20" customWidth="1"/>
    <col min="4" max="4" width="16" customWidth="1"/>
    <col min="5" max="5" width="10" customWidth="1"/>
  </cols>
  <sheetData>
    <row r="1" spans="1:5">
      <c r="A1" s="5" t="s">
        <v>290</v>
      </c>
    </row>
    <row r="2" spans="1:5" ht="25.5" customHeight="1">
      <c r="A2" s="6" t="s">
        <v>291</v>
      </c>
    </row>
    <row r="3" spans="1:5">
      <c r="A3" s="7" t="s">
        <v>292</v>
      </c>
    </row>
    <row r="5" spans="1:5" ht="30" customHeight="1">
      <c r="A5" s="33" t="s">
        <v>126</v>
      </c>
      <c r="B5" s="33" t="s">
        <v>293</v>
      </c>
      <c r="C5" s="33" t="s">
        <v>294</v>
      </c>
      <c r="D5" s="33" t="s">
        <v>295</v>
      </c>
      <c r="E5" s="33" t="s">
        <v>296</v>
      </c>
    </row>
    <row r="6" spans="1:5">
      <c r="A6" s="9" t="s">
        <v>297</v>
      </c>
      <c r="B6" s="56">
        <f>'Données ARR'!S20</f>
        <v>21405603.59</v>
      </c>
      <c r="C6" s="56">
        <f>'Données ARR'!B42</f>
        <v>21405603.59</v>
      </c>
      <c r="D6" s="57">
        <f t="shared" ref="D6:D22" si="0">B6-C6</f>
        <v>0</v>
      </c>
      <c r="E6" s="28" t="str">
        <f t="shared" ref="E6:E22" si="1">IF(ABS(D6)&lt;1,"OK","KO")</f>
        <v>OK</v>
      </c>
    </row>
    <row r="7" spans="1:5">
      <c r="A7" s="9" t="s">
        <v>298</v>
      </c>
      <c r="B7" s="56">
        <f>'Données ARR'!AH20</f>
        <v>21405603.569999997</v>
      </c>
      <c r="C7" s="56">
        <f>'Données ARR'!B42</f>
        <v>21405603.59</v>
      </c>
      <c r="D7" s="57">
        <f t="shared" si="0"/>
        <v>-2.0000003278255463E-2</v>
      </c>
      <c r="E7" s="28" t="str">
        <f t="shared" si="1"/>
        <v>OK</v>
      </c>
    </row>
    <row r="8" spans="1:5">
      <c r="A8" s="9" t="s">
        <v>299</v>
      </c>
      <c r="B8" s="56">
        <f>'Données ARR'!AQ20</f>
        <v>21405603.579999998</v>
      </c>
      <c r="C8" s="56">
        <f>'Données ARR'!B42</f>
        <v>21405603.59</v>
      </c>
      <c r="D8" s="57">
        <f t="shared" si="0"/>
        <v>-1.0000001639127731E-2</v>
      </c>
      <c r="E8" s="28" t="str">
        <f t="shared" si="1"/>
        <v>OK</v>
      </c>
    </row>
    <row r="9" spans="1:5">
      <c r="A9" s="9" t="s">
        <v>300</v>
      </c>
      <c r="B9" s="56">
        <f>SUM('Données ARR'!M6:M31)</f>
        <v>5.0000000686850399E-2</v>
      </c>
      <c r="C9" s="56">
        <f>0</f>
        <v>0</v>
      </c>
      <c r="D9" s="57">
        <f t="shared" si="0"/>
        <v>5.0000000686850399E-2</v>
      </c>
      <c r="E9" s="28" t="str">
        <f t="shared" si="1"/>
        <v>OK</v>
      </c>
    </row>
    <row r="10" spans="1:5">
      <c r="A10" s="9" t="s">
        <v>301</v>
      </c>
      <c r="B10" s="56">
        <f>Hypothèses!B24</f>
        <v>9319744.9700000007</v>
      </c>
      <c r="C10" s="56">
        <f>Hypothèses!C24</f>
        <v>9319744.9299999997</v>
      </c>
      <c r="D10" s="57">
        <f t="shared" si="0"/>
        <v>4.0000000968575478E-2</v>
      </c>
      <c r="E10" s="28" t="str">
        <f t="shared" si="1"/>
        <v>OK</v>
      </c>
    </row>
    <row r="11" spans="1:5">
      <c r="A11" s="9" t="s">
        <v>302</v>
      </c>
      <c r="B11" s="56">
        <f>Projection!Q43</f>
        <v>59421009.176914826</v>
      </c>
      <c r="C11" s="56">
        <f>Projection!Q7+SUM(Projection!$L$8:$L$43)+SUM(Projection!$M$8:$M$43)+SUM(Projection!$N$8:$N$43)+SUM(Projection!$O$8:$O$43)+SUM(Projection!$P$8:$P$43)</f>
        <v>59421009.176914826</v>
      </c>
      <c r="D11" s="57">
        <f t="shared" si="0"/>
        <v>0</v>
      </c>
      <c r="E11" s="28" t="str">
        <f t="shared" si="1"/>
        <v>OK</v>
      </c>
    </row>
    <row r="12" spans="1:5">
      <c r="A12" s="9" t="s">
        <v>303</v>
      </c>
      <c r="B12" s="56">
        <f>Sensibilités!B14</f>
        <v>59421009.176916078</v>
      </c>
      <c r="C12" s="56">
        <f>Sensibilités!B13</f>
        <v>59421009.176914826</v>
      </c>
      <c r="D12" s="57">
        <f t="shared" si="0"/>
        <v>1.2516975402832031E-6</v>
      </c>
      <c r="E12" s="28" t="str">
        <f t="shared" si="1"/>
        <v>OK</v>
      </c>
    </row>
    <row r="13" spans="1:5">
      <c r="A13" s="9" t="s">
        <v>304</v>
      </c>
      <c r="B13" s="56">
        <f>Segments!F8</f>
        <v>21405603.59</v>
      </c>
      <c r="C13" s="56">
        <f>Hypothèses!$B$6</f>
        <v>21405603.59</v>
      </c>
      <c r="D13" s="57">
        <f t="shared" si="0"/>
        <v>0</v>
      </c>
      <c r="E13" s="28" t="str">
        <f t="shared" si="1"/>
        <v>OK</v>
      </c>
    </row>
    <row r="14" spans="1:5">
      <c r="A14" s="9" t="s">
        <v>305</v>
      </c>
      <c r="B14" s="56">
        <f>Segments!I97</f>
        <v>21405603.57</v>
      </c>
      <c r="C14" s="56">
        <f>Hypothèses!$B$6</f>
        <v>21405603.59</v>
      </c>
      <c r="D14" s="57">
        <f t="shared" si="0"/>
        <v>-1.9999999552965164E-2</v>
      </c>
      <c r="E14" s="28" t="str">
        <f t="shared" si="1"/>
        <v>OK</v>
      </c>
    </row>
    <row r="15" spans="1:5">
      <c r="A15" s="9" t="s">
        <v>306</v>
      </c>
      <c r="B15" s="56">
        <f>Segments!H186</f>
        <v>21405603.579999998</v>
      </c>
      <c r="C15" s="56">
        <f>Hypothèses!$B$6</f>
        <v>21405603.59</v>
      </c>
      <c r="D15" s="57">
        <f t="shared" si="0"/>
        <v>-1.0000001639127731E-2</v>
      </c>
      <c r="E15" s="28" t="str">
        <f t="shared" si="1"/>
        <v>OK</v>
      </c>
    </row>
    <row r="16" spans="1:5">
      <c r="A16" s="9" t="s">
        <v>307</v>
      </c>
      <c r="B16" s="56">
        <f>Segments!F16</f>
        <v>8431197.8200000003</v>
      </c>
      <c r="C16" s="56">
        <f>Hypothèses!B16</f>
        <v>8431197.8200000003</v>
      </c>
      <c r="D16" s="57">
        <f t="shared" si="0"/>
        <v>0</v>
      </c>
      <c r="E16" s="28" t="str">
        <f t="shared" si="1"/>
        <v>OK</v>
      </c>
    </row>
    <row r="17" spans="1:5">
      <c r="A17" s="9" t="s">
        <v>308</v>
      </c>
      <c r="B17" s="56">
        <f>Segments!H196+Segments!H197</f>
        <v>3311450.8900000006</v>
      </c>
      <c r="C17" s="56">
        <f>Hypothèses!B17</f>
        <v>3311450.8900000006</v>
      </c>
      <c r="D17" s="57">
        <f t="shared" si="0"/>
        <v>0</v>
      </c>
      <c r="E17" s="28" t="str">
        <f t="shared" si="1"/>
        <v>OK</v>
      </c>
    </row>
    <row r="18" spans="1:5">
      <c r="A18" s="9" t="s">
        <v>309</v>
      </c>
      <c r="B18" s="56">
        <f>Segments!F88</f>
        <v>59421009.176914826</v>
      </c>
      <c r="C18" s="56">
        <f>Projection!AA43</f>
        <v>59421009.176914826</v>
      </c>
      <c r="D18" s="57">
        <f t="shared" si="0"/>
        <v>0</v>
      </c>
      <c r="E18" s="28" t="str">
        <f t="shared" si="1"/>
        <v>OK</v>
      </c>
    </row>
    <row r="19" spans="1:5">
      <c r="A19" s="9" t="s">
        <v>310</v>
      </c>
      <c r="B19" s="56">
        <f>Segments!I177</f>
        <v>59421009.176914826</v>
      </c>
      <c r="C19" s="56">
        <f>Projection!AA43</f>
        <v>59421009.176914826</v>
      </c>
      <c r="D19" s="57">
        <f t="shared" si="0"/>
        <v>0</v>
      </c>
      <c r="E19" s="28" t="str">
        <f t="shared" si="1"/>
        <v>OK</v>
      </c>
    </row>
    <row r="20" spans="1:5">
      <c r="A20" s="9" t="s">
        <v>311</v>
      </c>
      <c r="B20" s="56">
        <f>Segments!H270</f>
        <v>59421009.176914826</v>
      </c>
      <c r="C20" s="56">
        <f>Projection!AA43</f>
        <v>59421009.176914826</v>
      </c>
      <c r="D20" s="57">
        <f t="shared" si="0"/>
        <v>0</v>
      </c>
      <c r="E20" s="28" t="str">
        <f t="shared" si="1"/>
        <v>OK</v>
      </c>
    </row>
    <row r="21" spans="1:5">
      <c r="A21" s="9" t="s">
        <v>312</v>
      </c>
      <c r="B21" s="56">
        <f>'Données segments'!H124</f>
        <v>7396255.0600000005</v>
      </c>
      <c r="C21" s="56">
        <f>'Données segments'!G124</f>
        <v>7396255.0700000003</v>
      </c>
      <c r="D21" s="57">
        <f t="shared" si="0"/>
        <v>-9.9999997764825821E-3</v>
      </c>
      <c r="E21" s="28" t="str">
        <f t="shared" si="1"/>
        <v>OK</v>
      </c>
    </row>
    <row r="22" spans="1:5">
      <c r="A22" s="9" t="s">
        <v>313</v>
      </c>
      <c r="B22" s="56">
        <f>'Données segments'!H125</f>
        <v>3189668.7700000005</v>
      </c>
      <c r="C22" s="56">
        <f>'Données segments'!G125</f>
        <v>3189668.77</v>
      </c>
      <c r="D22" s="57">
        <f t="shared" si="0"/>
        <v>0</v>
      </c>
      <c r="E22" s="28" t="str">
        <f t="shared" si="1"/>
        <v>OK</v>
      </c>
    </row>
    <row r="24" spans="1:5">
      <c r="A24" s="25" t="s">
        <v>314</v>
      </c>
      <c r="E24" s="58" t="str">
        <f>IF(COUNTIF(E6:E22,"KO")=0,"OK","KO")</f>
        <v>OK</v>
      </c>
    </row>
  </sheetData>
  <conditionalFormatting sqref="E6:E24">
    <cfRule type="cellIs" dxfId="1" priority="2" operator="equal">
      <formula>"OK"</formula>
    </cfRule>
    <cfRule type="cellIs" dxfId="0" priority="3" operator="equal">
      <formula>"KO"</formula>
    </cfRule>
  </conditionalFormatting>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20512"/>
  </sheetPr>
  <dimension ref="A1:AA43"/>
  <sheetViews>
    <sheetView showGridLines="0" zoomScaleNormal="100" workbookViewId="0">
      <pane xSplit="2" ySplit="6" topLeftCell="C7" activePane="bottomRight" state="frozen"/>
      <selection pane="topRight" activeCell="C1" sqref="C1"/>
      <selection pane="bottomLeft" activeCell="A7" sqref="A7"/>
      <selection pane="bottomRight" activeCell="I12" sqref="I12"/>
    </sheetView>
  </sheetViews>
  <sheetFormatPr baseColWidth="10" defaultColWidth="8.6640625" defaultRowHeight="14.25"/>
  <cols>
    <col min="1" max="1" width="5" customWidth="1"/>
    <col min="2" max="2" width="20" customWidth="1"/>
    <col min="3" max="9" width="14" customWidth="1"/>
    <col min="10" max="10" width="3" customWidth="1"/>
    <col min="11" max="17" width="14" customWidth="1"/>
    <col min="18" max="18" width="3" customWidth="1"/>
    <col min="19" max="25" width="14" customWidth="1"/>
    <col min="26" max="26" width="3" customWidth="1"/>
    <col min="27" max="27" width="15" customWidth="1"/>
  </cols>
  <sheetData>
    <row r="1" spans="1:27">
      <c r="A1" s="5" t="s">
        <v>315</v>
      </c>
    </row>
    <row r="2" spans="1:27" ht="25.5" customHeight="1">
      <c r="A2" s="6" t="s">
        <v>316</v>
      </c>
    </row>
    <row r="3" spans="1:27">
      <c r="A3" s="7" t="s">
        <v>317</v>
      </c>
    </row>
    <row r="5" spans="1:27" ht="15" customHeight="1">
      <c r="C5" s="4" t="s">
        <v>318</v>
      </c>
      <c r="D5" s="4"/>
      <c r="E5" s="4"/>
      <c r="F5" s="4"/>
      <c r="G5" s="4"/>
      <c r="H5" s="4"/>
      <c r="I5" s="4"/>
      <c r="K5" s="3" t="s">
        <v>319</v>
      </c>
      <c r="L5" s="3"/>
      <c r="M5" s="3"/>
      <c r="N5" s="3"/>
      <c r="O5" s="3"/>
      <c r="P5" s="3"/>
      <c r="Q5" s="3"/>
      <c r="S5" s="2" t="s">
        <v>320</v>
      </c>
      <c r="T5" s="2"/>
      <c r="U5" s="2"/>
      <c r="V5" s="2"/>
      <c r="W5" s="2"/>
      <c r="X5" s="2"/>
      <c r="Y5" s="2"/>
      <c r="AA5" s="58" t="s">
        <v>143</v>
      </c>
    </row>
    <row r="6" spans="1:27" ht="30" customHeight="1">
      <c r="A6" s="33" t="s">
        <v>222</v>
      </c>
      <c r="B6" s="33" t="s">
        <v>223</v>
      </c>
      <c r="C6" s="33" t="s">
        <v>321</v>
      </c>
      <c r="D6" s="33" t="s">
        <v>322</v>
      </c>
      <c r="E6" s="33" t="s">
        <v>48</v>
      </c>
      <c r="F6" s="33" t="s">
        <v>50</v>
      </c>
      <c r="G6" s="33" t="s">
        <v>51</v>
      </c>
      <c r="H6" s="33" t="s">
        <v>52</v>
      </c>
      <c r="I6" s="33" t="s">
        <v>323</v>
      </c>
      <c r="K6" s="33" t="s">
        <v>321</v>
      </c>
      <c r="L6" s="33" t="s">
        <v>322</v>
      </c>
      <c r="M6" s="33" t="s">
        <v>48</v>
      </c>
      <c r="N6" s="33" t="s">
        <v>50</v>
      </c>
      <c r="O6" s="33" t="s">
        <v>51</v>
      </c>
      <c r="P6" s="33" t="s">
        <v>52</v>
      </c>
      <c r="Q6" s="33" t="s">
        <v>323</v>
      </c>
      <c r="S6" s="33" t="s">
        <v>321</v>
      </c>
      <c r="T6" s="33" t="s">
        <v>322</v>
      </c>
      <c r="U6" s="33" t="s">
        <v>48</v>
      </c>
      <c r="V6" s="33" t="s">
        <v>50</v>
      </c>
      <c r="W6" s="33" t="s">
        <v>51</v>
      </c>
      <c r="X6" s="33" t="s">
        <v>52</v>
      </c>
      <c r="Y6" s="33" t="s">
        <v>323</v>
      </c>
      <c r="AA6" s="59" t="s">
        <v>323</v>
      </c>
    </row>
    <row r="7" spans="1:27">
      <c r="A7" s="20">
        <v>0</v>
      </c>
      <c r="B7" s="9" t="s">
        <v>227</v>
      </c>
      <c r="I7" s="34">
        <f>Hypothèses!$B$6</f>
        <v>21405603.59</v>
      </c>
      <c r="Q7" s="34">
        <f>Hypothèses!$B$6</f>
        <v>21405603.59</v>
      </c>
      <c r="Y7" s="34">
        <f>Hypothèses!$B$6</f>
        <v>21405603.59</v>
      </c>
      <c r="AA7" s="46">
        <f>CHOOSE(Hypothèses!$B$12,I7,Q7,Y7)</f>
        <v>21405603.59</v>
      </c>
    </row>
    <row r="8" spans="1:27">
      <c r="A8" s="20">
        <v>1</v>
      </c>
      <c r="B8" s="9" t="s">
        <v>228</v>
      </c>
      <c r="C8" s="12">
        <f t="shared" ref="C8:C43" si="0">I7</f>
        <v>21405603.59</v>
      </c>
      <c r="D8" s="12">
        <f>Hypothèses!$C$38*(1+Hypothèses!$C$39)^$A8</f>
        <v>702599.81833333336</v>
      </c>
      <c r="E8" s="12">
        <f>Hypothèses!$C$45*C8</f>
        <v>350770.31007835153</v>
      </c>
      <c r="F8" s="12">
        <f>Hypothèses!$C$46*C8</f>
        <v>96194.456746717158</v>
      </c>
      <c r="G8" s="12">
        <f>-Hypothèses!$C$42*C8</f>
        <v>-172022.38516519405</v>
      </c>
      <c r="H8" s="12">
        <f>-Hypothèses!$C$43*C8</f>
        <v>-214497.28715818209</v>
      </c>
      <c r="I8" s="46">
        <f t="shared" ref="I8:I43" si="1">SUM(C8:H8)</f>
        <v>22168648.50283502</v>
      </c>
      <c r="K8" s="12">
        <f t="shared" ref="K8:K43" si="2">Q7</f>
        <v>21405603.59</v>
      </c>
      <c r="L8" s="12">
        <f>Hypothèses!$D$38*(1+Hypothèses!$D$39)^$A8</f>
        <v>708202.44795004558</v>
      </c>
      <c r="M8" s="12">
        <f>Hypothèses!$D$45*K8</f>
        <v>380382.67802387686</v>
      </c>
      <c r="N8" s="12">
        <f>Hypothèses!$D$46*K8</f>
        <v>96194.456746717158</v>
      </c>
      <c r="O8" s="12">
        <f>-Hypothèses!$D$42*K8</f>
        <v>-152838.52648092527</v>
      </c>
      <c r="P8" s="12">
        <f>-Hypothèses!$D$43*K8</f>
        <v>-190576.64659125803</v>
      </c>
      <c r="Q8" s="46">
        <f t="shared" ref="Q8:Q43" si="3">SUM(K8:P8)</f>
        <v>22246967.999648459</v>
      </c>
      <c r="S8" s="12">
        <f t="shared" ref="S8:S43" si="4">Y7</f>
        <v>21405603.59</v>
      </c>
      <c r="T8" s="12">
        <f>Hypothèses!$E$38*(1+Hypothèses!$E$39)^$A8</f>
        <v>713356.24952522398</v>
      </c>
      <c r="U8" s="12">
        <f>Hypothèses!$E$45*S8</f>
        <v>409558.80493614887</v>
      </c>
      <c r="V8" s="12">
        <f>Hypothèses!$E$46*S8</f>
        <v>96194.456746717158</v>
      </c>
      <c r="W8" s="12">
        <f>-Hypothèses!$E$42*S8</f>
        <v>-134077.04650353797</v>
      </c>
      <c r="X8" s="12">
        <f>-Hypothèses!$E$43*S8</f>
        <v>-167182.67635675866</v>
      </c>
      <c r="Y8" s="46">
        <f t="shared" ref="Y8:Y43" si="5">SUM(S8:X8)</f>
        <v>22323453.378347792</v>
      </c>
      <c r="AA8" s="46">
        <f>CHOOSE(Hypothèses!$B$12,I8,Q8,Y8)</f>
        <v>22246967.999648459</v>
      </c>
    </row>
    <row r="9" spans="1:27">
      <c r="A9" s="20">
        <v>2</v>
      </c>
      <c r="B9" s="9" t="s">
        <v>229</v>
      </c>
      <c r="C9" s="12">
        <f t="shared" si="0"/>
        <v>22168648.50283502</v>
      </c>
      <c r="D9" s="12">
        <f>Hypothèses!$C$38*(1+Hypothèses!$C$39)^$A9</f>
        <v>702599.81833333336</v>
      </c>
      <c r="E9" s="12">
        <f>Hypothèses!$C$45*C9</f>
        <v>363274.20886137336</v>
      </c>
      <c r="F9" s="12">
        <f>Hypothèses!$C$46*C9</f>
        <v>99623.497677747073</v>
      </c>
      <c r="G9" s="12">
        <f>-Hypothèses!$C$42*C9</f>
        <v>-178154.4619992885</v>
      </c>
      <c r="H9" s="12">
        <f>-Hypothèses!$C$43*C9</f>
        <v>-222143.46555697414</v>
      </c>
      <c r="I9" s="46">
        <f t="shared" si="1"/>
        <v>22933848.100151211</v>
      </c>
      <c r="K9" s="12">
        <f t="shared" si="2"/>
        <v>22246967.999648459</v>
      </c>
      <c r="L9" s="12">
        <f>Hypothèses!$D$38*(1+Hypothèses!$D$39)^$A9</f>
        <v>713849.75372209272</v>
      </c>
      <c r="M9" s="12">
        <f>Hypothèses!$D$45*K9</f>
        <v>395333.92413055385</v>
      </c>
      <c r="N9" s="12">
        <f>Hypothèses!$D$46*K9</f>
        <v>99975.456986764853</v>
      </c>
      <c r="O9" s="12">
        <f>-Hypothèses!$D$42*K9</f>
        <v>-158845.96729255642</v>
      </c>
      <c r="P9" s="12">
        <f>-Hypothèses!$D$43*K9</f>
        <v>-198067.41446789686</v>
      </c>
      <c r="Q9" s="46">
        <f t="shared" si="3"/>
        <v>23099213.752727423</v>
      </c>
      <c r="S9" s="12">
        <f t="shared" si="4"/>
        <v>22323453.378347792</v>
      </c>
      <c r="T9" s="12">
        <f>Hypothèses!$E$38*(1+Hypothèses!$E$39)^$A9</f>
        <v>724277.35598312935</v>
      </c>
      <c r="U9" s="12">
        <f>Hypothèses!$E$45*S9</f>
        <v>427120.25611626107</v>
      </c>
      <c r="V9" s="12">
        <f>Hypothèses!$E$46*S9</f>
        <v>100319.1739682606</v>
      </c>
      <c r="W9" s="12">
        <f>-Hypothèses!$E$42*S9</f>
        <v>-139826.12936579654</v>
      </c>
      <c r="X9" s="12">
        <f>-Hypothèses!$E$43*S9</f>
        <v>-174351.29383882557</v>
      </c>
      <c r="Y9" s="46">
        <f t="shared" si="5"/>
        <v>23260992.741210818</v>
      </c>
      <c r="AA9" s="46">
        <f>CHOOSE(Hypothèses!$B$12,I9,Q9,Y9)</f>
        <v>23099213.752727423</v>
      </c>
    </row>
    <row r="10" spans="1:27">
      <c r="A10" s="20">
        <v>3</v>
      </c>
      <c r="B10" s="9" t="s">
        <v>230</v>
      </c>
      <c r="C10" s="12">
        <f t="shared" si="0"/>
        <v>22933848.100151211</v>
      </c>
      <c r="D10" s="12">
        <f>Hypothèses!$C$38*(1+Hypothèses!$C$39)^$A10</f>
        <v>702599.81833333336</v>
      </c>
      <c r="E10" s="12">
        <f>Hypothèses!$C$45*C10</f>
        <v>375813.41612520505</v>
      </c>
      <c r="F10" s="12">
        <f>Hypothèses!$C$46*C10</f>
        <v>103062.22152672206</v>
      </c>
      <c r="G10" s="12">
        <f>-Hypothèses!$C$42*C10</f>
        <v>-184303.85457793417</v>
      </c>
      <c r="H10" s="12">
        <f>-Hypothèses!$C$43*C10</f>
        <v>-229811.23521685583</v>
      </c>
      <c r="I10" s="46">
        <f t="shared" si="1"/>
        <v>23701208.466341686</v>
      </c>
      <c r="K10" s="12">
        <f t="shared" si="2"/>
        <v>23099213.752727423</v>
      </c>
      <c r="L10" s="12">
        <f>Hypothèses!$D$38*(1+Hypothèses!$D$39)^$A10</f>
        <v>719542.09190341097</v>
      </c>
      <c r="M10" s="12">
        <f>Hypothèses!$D$45*K10</f>
        <v>410478.53430366283</v>
      </c>
      <c r="N10" s="12">
        <f>Hypothèses!$D$46*K10</f>
        <v>103805.35680189675</v>
      </c>
      <c r="O10" s="12">
        <f>-Hypothèses!$D$42*K10</f>
        <v>-164931.10217569827</v>
      </c>
      <c r="P10" s="12">
        <f>-Hypothèses!$D$43*K10</f>
        <v>-205655.06024534677</v>
      </c>
      <c r="Q10" s="46">
        <f t="shared" si="3"/>
        <v>23962453.573315348</v>
      </c>
      <c r="S10" s="12">
        <f t="shared" si="4"/>
        <v>23260992.741210818</v>
      </c>
      <c r="T10" s="12">
        <f>Hypothèses!$E$38*(1+Hypothèses!$E$39)^$A10</f>
        <v>735365.65879817633</v>
      </c>
      <c r="U10" s="12">
        <f>Hypothèses!$E$45*S10</f>
        <v>445058.43288480409</v>
      </c>
      <c r="V10" s="12">
        <f>Hypothèses!$E$46*S10</f>
        <v>104532.37399834077</v>
      </c>
      <c r="W10" s="12">
        <f>-Hypothèses!$E$42*S10</f>
        <v>-145698.54068206548</v>
      </c>
      <c r="X10" s="12">
        <f>-Hypothèses!$E$43*S10</f>
        <v>-181673.69141636806</v>
      </c>
      <c r="Y10" s="46">
        <f t="shared" si="5"/>
        <v>24218576.974793706</v>
      </c>
      <c r="AA10" s="46">
        <f>CHOOSE(Hypothèses!$B$12,I10,Q10,Y10)</f>
        <v>23962453.573315348</v>
      </c>
    </row>
    <row r="11" spans="1:27">
      <c r="A11" s="20">
        <v>4</v>
      </c>
      <c r="B11" s="9" t="s">
        <v>231</v>
      </c>
      <c r="C11" s="12">
        <f t="shared" si="0"/>
        <v>23701208.466341686</v>
      </c>
      <c r="D11" s="12">
        <f>Hypothèses!$C$38*(1+Hypothèses!$C$39)^$A11</f>
        <v>702599.81833333336</v>
      </c>
      <c r="E11" s="12">
        <f>Hypothèses!$C$45*C11</f>
        <v>388388.03157385404</v>
      </c>
      <c r="F11" s="12">
        <f>Hypothèses!$C$46*C11</f>
        <v>106510.6556362437</v>
      </c>
      <c r="G11" s="12">
        <f>-Hypothèses!$C$42*C11</f>
        <v>-190470.61179729094</v>
      </c>
      <c r="H11" s="12">
        <f>-Hypothèses!$C$43*C11</f>
        <v>-237500.65710718086</v>
      </c>
      <c r="I11" s="46">
        <f t="shared" si="1"/>
        <v>24470735.702980641</v>
      </c>
      <c r="K11" s="12">
        <f t="shared" si="2"/>
        <v>23962453.573315348</v>
      </c>
      <c r="L11" s="12">
        <f>Hypothèses!$D$38*(1+Hypothèses!$D$39)^$A11</f>
        <v>725279.82158875605</v>
      </c>
      <c r="M11" s="12">
        <f>Hypothèses!$D$45*K11</f>
        <v>425818.51167694683</v>
      </c>
      <c r="N11" s="12">
        <f>Hypothèses!$D$46*K11</f>
        <v>107684.66276187362</v>
      </c>
      <c r="O11" s="12">
        <f>-Hypothèses!$D$42*K11</f>
        <v>-171094.73599352498</v>
      </c>
      <c r="P11" s="12">
        <f>-Hypothèses!$D$43*K11</f>
        <v>-213340.58751954808</v>
      </c>
      <c r="Q11" s="46">
        <f t="shared" si="3"/>
        <v>24836801.245829854</v>
      </c>
      <c r="S11" s="12">
        <f t="shared" si="4"/>
        <v>24218576.974793706</v>
      </c>
      <c r="T11" s="12">
        <f>Hypothèses!$E$38*(1+Hypothèses!$E$39)^$A11</f>
        <v>746623.71765806235</v>
      </c>
      <c r="U11" s="12">
        <f>Hypothèses!$E$45*S11</f>
        <v>463380.13321354991</v>
      </c>
      <c r="V11" s="12">
        <f>Hypothèses!$E$46*S11</f>
        <v>108835.65349949719</v>
      </c>
      <c r="W11" s="12">
        <f>-Hypothèses!$E$42*S11</f>
        <v>-151696.50590072101</v>
      </c>
      <c r="X11" s="12">
        <f>-Hypothèses!$E$43*S11</f>
        <v>-189152.64403428035</v>
      </c>
      <c r="Y11" s="46">
        <f t="shared" si="5"/>
        <v>25196567.329229813</v>
      </c>
      <c r="AA11" s="46">
        <f>CHOOSE(Hypothèses!$B$12,I11,Q11,Y11)</f>
        <v>24836801.245829854</v>
      </c>
    </row>
    <row r="12" spans="1:27">
      <c r="A12" s="20">
        <v>5</v>
      </c>
      <c r="B12" s="9" t="s">
        <v>232</v>
      </c>
      <c r="C12" s="12">
        <f t="shared" si="0"/>
        <v>24470735.702980641</v>
      </c>
      <c r="D12" s="12">
        <f>Hypothèses!$C$38*(1+Hypothèses!$C$39)^$A12</f>
        <v>702599.81833333336</v>
      </c>
      <c r="E12" s="12">
        <f>Hypothèses!$C$45*C12</f>
        <v>400998.15519287152</v>
      </c>
      <c r="F12" s="12">
        <f>Hypothèses!$C$46*C12</f>
        <v>109968.82742612345</v>
      </c>
      <c r="G12" s="12">
        <f>-Hypothèses!$C$42*C12</f>
        <v>-196654.78269159154</v>
      </c>
      <c r="H12" s="12">
        <f>-Hypothèses!$C$43*C12</f>
        <v>-245211.79236946796</v>
      </c>
      <c r="I12" s="46">
        <f t="shared" si="1"/>
        <v>25242435.928871911</v>
      </c>
      <c r="K12" s="12">
        <f t="shared" si="2"/>
        <v>24836801.245829854</v>
      </c>
      <c r="L12" s="12">
        <f>Hypothèses!$D$38*(1+Hypothèses!$D$39)^$A12</f>
        <v>731063.30473635509</v>
      </c>
      <c r="M12" s="12">
        <f>Hypothèses!$D$45*K12</f>
        <v>441355.87822662847</v>
      </c>
      <c r="N12" s="12">
        <f>Hypothèses!$D$46*K12</f>
        <v>111613.88620150517</v>
      </c>
      <c r="O12" s="12">
        <f>-Hypothèses!$D$42*K12</f>
        <v>-177337.681180157</v>
      </c>
      <c r="P12" s="12">
        <f>-Hypothèses!$D$43*K12</f>
        <v>-221125.00932676729</v>
      </c>
      <c r="Q12" s="46">
        <f t="shared" si="3"/>
        <v>25722371.624487415</v>
      </c>
      <c r="S12" s="12">
        <f t="shared" si="4"/>
        <v>25196567.329229813</v>
      </c>
      <c r="T12" s="12">
        <f>Hypothèses!$E$38*(1+Hypothèses!$E$39)^$A12</f>
        <v>758054.13143794821</v>
      </c>
      <c r="U12" s="12">
        <f>Hypothèses!$E$45*S12</f>
        <v>482092.26899228845</v>
      </c>
      <c r="V12" s="12">
        <f>Hypothèses!$E$46*S12</f>
        <v>113230.63589057821</v>
      </c>
      <c r="W12" s="12">
        <f>-Hypothèses!$E$42*S12</f>
        <v>-157822.28776341976</v>
      </c>
      <c r="X12" s="12">
        <f>-Hypothèses!$E$43*S12</f>
        <v>-196790.9731390063</v>
      </c>
      <c r="Y12" s="46">
        <f t="shared" si="5"/>
        <v>26195331.104648203</v>
      </c>
      <c r="AA12" s="46">
        <f>CHOOSE(Hypothèses!$B$12,I12,Q12,Y12)</f>
        <v>25722371.624487415</v>
      </c>
    </row>
    <row r="13" spans="1:27">
      <c r="A13" s="20">
        <v>6</v>
      </c>
      <c r="B13" s="9" t="s">
        <v>233</v>
      </c>
      <c r="C13" s="12">
        <f t="shared" si="0"/>
        <v>25242435.928871911</v>
      </c>
      <c r="D13" s="12">
        <f>Hypothèses!$C$38*(1+Hypothèses!$C$39)^$A13</f>
        <v>702599.81833333336</v>
      </c>
      <c r="E13" s="12">
        <f>Hypothèses!$C$45*C13</f>
        <v>413643.88725014793</v>
      </c>
      <c r="F13" s="12">
        <f>Hypothèses!$C$46*C13</f>
        <v>113436.76439360093</v>
      </c>
      <c r="G13" s="12">
        <f>-Hypothèses!$C$42*C13</f>
        <v>-202856.4164335315</v>
      </c>
      <c r="H13" s="12">
        <f>-Hypothèses!$C$43*C13</f>
        <v>-252944.70231788739</v>
      </c>
      <c r="I13" s="46">
        <f t="shared" si="1"/>
        <v>26016315.280097574</v>
      </c>
      <c r="K13" s="12">
        <f t="shared" si="2"/>
        <v>25722371.624487415</v>
      </c>
      <c r="L13" s="12">
        <f>Hypothèses!$D$38*(1+Hypothèses!$D$39)^$A13</f>
        <v>736892.90619074111</v>
      </c>
      <c r="M13" s="12">
        <f>Hypothèses!$D$45*K13</f>
        <v>457092.67493951111</v>
      </c>
      <c r="N13" s="12">
        <f>Hypothèses!$D$46*K13</f>
        <v>115593.543263161</v>
      </c>
      <c r="O13" s="12">
        <f>-Hypothèses!$D$42*K13</f>
        <v>-183660.75780820442</v>
      </c>
      <c r="P13" s="12">
        <f>-Hypothèses!$D$43*K13</f>
        <v>-229009.34822781803</v>
      </c>
      <c r="Q13" s="46">
        <f t="shared" si="3"/>
        <v>26619280.642844804</v>
      </c>
      <c r="S13" s="12">
        <f t="shared" si="4"/>
        <v>26195331.104648203</v>
      </c>
      <c r="T13" s="12">
        <f>Hypothèses!$E$38*(1+Hypothèses!$E$39)^$A13</f>
        <v>769659.53880039684</v>
      </c>
      <c r="U13" s="12">
        <f>Hypothèses!$E$45*S13</f>
        <v>501201.86786690122</v>
      </c>
      <c r="V13" s="12">
        <f>Hypothèses!$E$46*S13</f>
        <v>117718.97177845551</v>
      </c>
      <c r="W13" s="12">
        <f>-Hypothèses!$E$42*S13</f>
        <v>-164078.18690682817</v>
      </c>
      <c r="X13" s="12">
        <f>-Hypothèses!$E$43*S13</f>
        <v>-204591.54742884473</v>
      </c>
      <c r="Y13" s="46">
        <f t="shared" si="5"/>
        <v>27215241.748758279</v>
      </c>
      <c r="AA13" s="46">
        <f>CHOOSE(Hypothèses!$B$12,I13,Q13,Y13)</f>
        <v>26619280.642844804</v>
      </c>
    </row>
    <row r="14" spans="1:27">
      <c r="A14" s="20">
        <v>7</v>
      </c>
      <c r="B14" s="9" t="s">
        <v>234</v>
      </c>
      <c r="C14" s="12">
        <f t="shared" si="0"/>
        <v>26016315.280097574</v>
      </c>
      <c r="D14" s="12">
        <f>Hypothèses!$C$38*(1+Hypothèses!$C$39)^$A14</f>
        <v>702599.81833333336</v>
      </c>
      <c r="E14" s="12">
        <f>Hypothèses!$C$45*C14</f>
        <v>426325.32829670986</v>
      </c>
      <c r="F14" s="12">
        <f>Hypothèses!$C$46*C14</f>
        <v>116914.49411356228</v>
      </c>
      <c r="G14" s="12">
        <f>-Hypothèses!$C$42*C14</f>
        <v>-209075.56233466006</v>
      </c>
      <c r="H14" s="12">
        <f>-Hypothèses!$C$43*C14</f>
        <v>-260699.44843974803</v>
      </c>
      <c r="I14" s="46">
        <f t="shared" si="1"/>
        <v>26792379.910066772</v>
      </c>
      <c r="K14" s="12">
        <f t="shared" si="2"/>
        <v>26619280.642844804</v>
      </c>
      <c r="L14" s="12">
        <f>Hypothèses!$D$38*(1+Hypothèses!$D$39)^$A14</f>
        <v>742768.99370576895</v>
      </c>
      <c r="M14" s="12">
        <f>Hypothèses!$D$45*K14</f>
        <v>473030.96198253258</v>
      </c>
      <c r="N14" s="12">
        <f>Hypothèses!$D$46*K14</f>
        <v>119624.15493964867</v>
      </c>
      <c r="O14" s="12">
        <f>-Hypothèses!$D$42*K14</f>
        <v>-190064.79365689389</v>
      </c>
      <c r="P14" s="12">
        <f>-Hypothèses!$D$43*K14</f>
        <v>-236994.63639300957</v>
      </c>
      <c r="Q14" s="46">
        <f t="shared" si="3"/>
        <v>27527645.323422849</v>
      </c>
      <c r="S14" s="12">
        <f t="shared" si="4"/>
        <v>27215241.748758279</v>
      </c>
      <c r="T14" s="12">
        <f>Hypothèses!$E$38*(1+Hypothèses!$E$39)^$A14</f>
        <v>781442.61880449799</v>
      </c>
      <c r="U14" s="12">
        <f>Hypothèses!$E$45*S14</f>
        <v>520716.07510647294</v>
      </c>
      <c r="V14" s="12">
        <f>Hypothèses!$E$46*S14</f>
        <v>122302.33939655888</v>
      </c>
      <c r="W14" s="12">
        <f>-Hypothèses!$E$42*S14</f>
        <v>-170466.54247385749</v>
      </c>
      <c r="X14" s="12">
        <f>-Hypothèses!$E$43*S14</f>
        <v>-212557.28361610763</v>
      </c>
      <c r="Y14" s="46">
        <f t="shared" si="5"/>
        <v>28256678.955975845</v>
      </c>
      <c r="AA14" s="46">
        <f>CHOOSE(Hypothèses!$B$12,I14,Q14,Y14)</f>
        <v>27527645.323422849</v>
      </c>
    </row>
    <row r="15" spans="1:27">
      <c r="A15" s="20">
        <v>8</v>
      </c>
      <c r="B15" s="9" t="s">
        <v>235</v>
      </c>
      <c r="C15" s="12">
        <f t="shared" si="0"/>
        <v>26792379.910066772</v>
      </c>
      <c r="D15" s="12">
        <f>Hypothèses!$C$38*(1+Hypothèses!$C$39)^$A15</f>
        <v>702599.81833333336</v>
      </c>
      <c r="E15" s="12">
        <f>Hypothèses!$C$45*C15</f>
        <v>439042.57916751964</v>
      </c>
      <c r="F15" s="12">
        <f>Hypothèses!$C$46*C15</f>
        <v>120402.04423875963</v>
      </c>
      <c r="G15" s="12">
        <f>-Hypothèses!$C$42*C15</f>
        <v>-215312.26984577236</v>
      </c>
      <c r="H15" s="12">
        <f>-Hypothèses!$C$43*C15</f>
        <v>-268476.09239598655</v>
      </c>
      <c r="I15" s="46">
        <f t="shared" si="1"/>
        <v>27570635.989564624</v>
      </c>
      <c r="K15" s="12">
        <f t="shared" si="2"/>
        <v>27527645.323422849</v>
      </c>
      <c r="L15" s="12">
        <f>Hypothèses!$D$38*(1+Hypothèses!$D$39)^$A15</f>
        <v>748691.93796781451</v>
      </c>
      <c r="M15" s="12">
        <f>Hypothèses!$D$45*K15</f>
        <v>489172.8188737813</v>
      </c>
      <c r="N15" s="12">
        <f>Hypothèses!$D$46*K15</f>
        <v>123706.24711746191</v>
      </c>
      <c r="O15" s="12">
        <f>-Hypothèses!$D$42*K15</f>
        <v>-196550.62428078358</v>
      </c>
      <c r="P15" s="12">
        <f>-Hypothèses!$D$43*K15</f>
        <v>-245081.91568782824</v>
      </c>
      <c r="Q15" s="46">
        <f t="shared" si="3"/>
        <v>28447583.787413295</v>
      </c>
      <c r="S15" s="12">
        <f t="shared" si="4"/>
        <v>28256678.955975845</v>
      </c>
      <c r="T15" s="12">
        <f>Hypothèses!$E$38*(1+Hypothèses!$E$39)^$A15</f>
        <v>793406.09152431821</v>
      </c>
      <c r="U15" s="12">
        <f>Hypothèses!$E$45*S15</f>
        <v>540642.15549989522</v>
      </c>
      <c r="V15" s="12">
        <f>Hypothèses!$E$46*S15</f>
        <v>126982.44505033793</v>
      </c>
      <c r="W15" s="12">
        <f>-Hypothèses!$E$42*S15</f>
        <v>-176989.7327345543</v>
      </c>
      <c r="X15" s="12">
        <f>-Hypothèses!$E$43*S15</f>
        <v>-220691.14720131762</v>
      </c>
      <c r="Y15" s="46">
        <f t="shared" si="5"/>
        <v>29320028.768114522</v>
      </c>
      <c r="AA15" s="46">
        <f>CHOOSE(Hypothèses!$B$12,I15,Q15,Y15)</f>
        <v>28447583.787413295</v>
      </c>
    </row>
    <row r="16" spans="1:27">
      <c r="A16" s="20">
        <v>9</v>
      </c>
      <c r="B16" s="9" t="s">
        <v>236</v>
      </c>
      <c r="C16" s="12">
        <f t="shared" si="0"/>
        <v>27570635.989564624</v>
      </c>
      <c r="D16" s="12">
        <f>Hypothèses!$C$38*(1+Hypothèses!$C$39)^$A16</f>
        <v>702599.81833333336</v>
      </c>
      <c r="E16" s="12">
        <f>Hypothèses!$C$45*C16</f>
        <v>451795.74098227714</v>
      </c>
      <c r="F16" s="12">
        <f>Hypothèses!$C$46*C16</f>
        <v>123899.44250003078</v>
      </c>
      <c r="G16" s="12">
        <f>-Hypothèses!$C$42*C16</f>
        <v>-221566.58855730249</v>
      </c>
      <c r="H16" s="12">
        <f>-Hypothèses!$C$43*C16</f>
        <v>-276274.69602165761</v>
      </c>
      <c r="I16" s="46">
        <f t="shared" si="1"/>
        <v>28351089.706801303</v>
      </c>
      <c r="K16" s="12">
        <f t="shared" si="2"/>
        <v>28447583.787413295</v>
      </c>
      <c r="L16" s="12">
        <f>Hypothèses!$D$38*(1+Hypothèses!$D$39)^$A16</f>
        <v>754662.112619158</v>
      </c>
      <c r="M16" s="12">
        <f>Hypothèses!$D$45*K16</f>
        <v>505520.34465498995</v>
      </c>
      <c r="N16" s="12">
        <f>Hypothèses!$D$46*K16</f>
        <v>127840.35062040221</v>
      </c>
      <c r="O16" s="12">
        <f>-Hypothèses!$D$42*K16</f>
        <v>-203119.09307907106</v>
      </c>
      <c r="P16" s="12">
        <f>-Hypothèses!$D$43*K16</f>
        <v>-253272.23775935886</v>
      </c>
      <c r="Q16" s="46">
        <f t="shared" si="3"/>
        <v>29379215.264469415</v>
      </c>
      <c r="S16" s="12">
        <f t="shared" si="4"/>
        <v>29320028.768114522</v>
      </c>
      <c r="T16" s="12">
        <f>Hypothèses!$E$38*(1+Hypothèses!$E$39)^$A16</f>
        <v>805552.7186768169</v>
      </c>
      <c r="U16" s="12">
        <f>Hypothèses!$E$45*S16</f>
        <v>560987.49528242054</v>
      </c>
      <c r="V16" s="12">
        <f>Hypothèses!$E$46*S16</f>
        <v>131761.0235697584</v>
      </c>
      <c r="W16" s="12">
        <f>-Hypothèses!$E$42*S16</f>
        <v>-183650.17571679517</v>
      </c>
      <c r="X16" s="12">
        <f>-Hypothèses!$E$43*S16</f>
        <v>-228996.15325963081</v>
      </c>
      <c r="Y16" s="46">
        <f t="shared" si="5"/>
        <v>30405683.676667091</v>
      </c>
      <c r="AA16" s="46">
        <f>CHOOSE(Hypothèses!$B$12,I16,Q16,Y16)</f>
        <v>29379215.264469415</v>
      </c>
    </row>
    <row r="17" spans="1:27">
      <c r="A17" s="20">
        <v>10</v>
      </c>
      <c r="B17" s="9" t="s">
        <v>237</v>
      </c>
      <c r="C17" s="12">
        <f t="shared" si="0"/>
        <v>28351089.706801303</v>
      </c>
      <c r="D17" s="12">
        <f>Hypothèses!$C$38*(1+Hypothèses!$C$39)^$A17</f>
        <v>702599.81833333336</v>
      </c>
      <c r="E17" s="12">
        <f>Hypothèses!$C$45*C17</f>
        <v>464584.91514622379</v>
      </c>
      <c r="F17" s="12">
        <f>Hypothèses!$C$46*C17</f>
        <v>127406.71670651992</v>
      </c>
      <c r="G17" s="12">
        <f>-Hypothèses!$C$42*C17</f>
        <v>-227838.56819971793</v>
      </c>
      <c r="H17" s="12">
        <f>-Hypothèses!$C$43*C17</f>
        <v>-284095.32132642565</v>
      </c>
      <c r="I17" s="46">
        <f t="shared" si="1"/>
        <v>29133747.267461237</v>
      </c>
      <c r="K17" s="12">
        <f t="shared" si="2"/>
        <v>29379215.264469415</v>
      </c>
      <c r="L17" s="12">
        <f>Hypothèses!$D$38*(1+Hypothèses!$D$39)^$A17</f>
        <v>760679.89428155636</v>
      </c>
      <c r="M17" s="12">
        <f>Hypothèses!$D$45*K17</f>
        <v>522075.65806551673</v>
      </c>
      <c r="N17" s="12">
        <f>Hypothèses!$D$46*K17</f>
        <v>132027.00125357669</v>
      </c>
      <c r="O17" s="12">
        <f>-Hypothèses!$D$42*K17</f>
        <v>-209771.05136549962</v>
      </c>
      <c r="P17" s="12">
        <f>-Hypothèses!$D$43*K17</f>
        <v>-261566.66412345166</v>
      </c>
      <c r="Q17" s="46">
        <f t="shared" si="3"/>
        <v>30322660.10258111</v>
      </c>
      <c r="S17" s="12">
        <f t="shared" si="4"/>
        <v>30405683.676667091</v>
      </c>
      <c r="T17" s="12">
        <f>Hypothèses!$E$38*(1+Hypothèses!$E$39)^$A17</f>
        <v>817885.30425937776</v>
      </c>
      <c r="U17" s="12">
        <f>Hypothèses!$E$45*S17</f>
        <v>581759.60409263766</v>
      </c>
      <c r="V17" s="12">
        <f>Hypothèses!$E$46*S17</f>
        <v>136639.83876894342</v>
      </c>
      <c r="W17" s="12">
        <f>-Hypothèses!$E$42*S17</f>
        <v>-190450.32984694073</v>
      </c>
      <c r="X17" s="12">
        <f>-Hypothèses!$E$43*S17</f>
        <v>-237475.36723967773</v>
      </c>
      <c r="Y17" s="46">
        <f t="shared" si="5"/>
        <v>31514042.726701435</v>
      </c>
      <c r="AA17" s="46">
        <f>CHOOSE(Hypothèses!$B$12,I17,Q17,Y17)</f>
        <v>30322660.10258111</v>
      </c>
    </row>
    <row r="18" spans="1:27">
      <c r="A18" s="20">
        <v>11</v>
      </c>
      <c r="B18" s="9" t="s">
        <v>238</v>
      </c>
      <c r="C18" s="12">
        <f t="shared" si="0"/>
        <v>29133747.267461237</v>
      </c>
      <c r="D18" s="12">
        <f>Hypothèses!$C$38*(1+Hypothèses!$C$39)^$A18</f>
        <v>702599.81833333336</v>
      </c>
      <c r="E18" s="12">
        <f>Hypothèses!$C$45*C18</f>
        <v>477410.20335094904</v>
      </c>
      <c r="F18" s="12">
        <f>Hypothèses!$C$46*C18</f>
        <v>130923.89474589859</v>
      </c>
      <c r="G18" s="12">
        <f>-Hypothèses!$C$42*C18</f>
        <v>-234128.25864391506</v>
      </c>
      <c r="H18" s="12">
        <f>-Hypothèses!$C$43*C18</f>
        <v>-291938.0304950577</v>
      </c>
      <c r="I18" s="46">
        <f t="shared" si="1"/>
        <v>29918614.894752443</v>
      </c>
      <c r="K18" s="12">
        <f t="shared" si="2"/>
        <v>30322660.10258111</v>
      </c>
      <c r="L18" s="12">
        <f>Hypothèses!$D$38*(1+Hypothèses!$D$39)^$A18</f>
        <v>766745.66258000105</v>
      </c>
      <c r="M18" s="12">
        <f>Hypothèses!$D$45*K18</f>
        <v>538840.89771782828</v>
      </c>
      <c r="N18" s="12">
        <f>Hypothèses!$D$46*K18</f>
        <v>136266.73984777575</v>
      </c>
      <c r="O18" s="12">
        <f>-Hypothèses!$D$42*K18</f>
        <v>-216507.35843886752</v>
      </c>
      <c r="P18" s="12">
        <f>-Hypothèses!$D$43*K18</f>
        <v>-269966.26625264157</v>
      </c>
      <c r="Q18" s="46">
        <f t="shared" si="3"/>
        <v>31278039.778035209</v>
      </c>
      <c r="S18" s="12">
        <f t="shared" si="4"/>
        <v>31514042.726701435</v>
      </c>
      <c r="T18" s="12">
        <f>Hypothèses!$E$38*(1+Hypothèses!$E$39)^$A18</f>
        <v>830406.6951971004</v>
      </c>
      <c r="U18" s="12">
        <f>Hypothèses!$E$45*S18</f>
        <v>602966.1169603382</v>
      </c>
      <c r="V18" s="12">
        <f>Hypothèses!$E$46*S18</f>
        <v>141620.6839130705</v>
      </c>
      <c r="W18" s="12">
        <f>-Hypothèses!$E$42*S18</f>
        <v>-197392.69460060252</v>
      </c>
      <c r="X18" s="12">
        <f>-Hypothèses!$E$43*S18</f>
        <v>-246131.9057750144</v>
      </c>
      <c r="Y18" s="46">
        <f t="shared" si="5"/>
        <v>32645511.622396331</v>
      </c>
      <c r="AA18" s="46">
        <f>CHOOSE(Hypothèses!$B$12,I18,Q18,Y18)</f>
        <v>31278039.778035209</v>
      </c>
    </row>
    <row r="19" spans="1:27">
      <c r="A19" s="50">
        <v>12</v>
      </c>
      <c r="B19" s="51" t="s">
        <v>239</v>
      </c>
      <c r="C19" s="52">
        <f t="shared" si="0"/>
        <v>29918614.894752443</v>
      </c>
      <c r="D19" s="52">
        <f>Hypothèses!$C$38*(1+Hypothèses!$C$39)^$A19</f>
        <v>702599.81833333336</v>
      </c>
      <c r="E19" s="52">
        <f>Hypothèses!$C$45*C19</f>
        <v>490271.70757519861</v>
      </c>
      <c r="F19" s="52">
        <f>Hypothèses!$C$46*C19</f>
        <v>134451.00458458744</v>
      </c>
      <c r="G19" s="52">
        <f>-Hypothèses!$C$42*C19</f>
        <v>-240435.70990161537</v>
      </c>
      <c r="H19" s="52">
        <f>-Hypothèses!$C$43*C19</f>
        <v>-299802.88588791806</v>
      </c>
      <c r="I19" s="53">
        <f t="shared" si="1"/>
        <v>30705698.829456031</v>
      </c>
      <c r="J19" s="60"/>
      <c r="K19" s="52">
        <f t="shared" si="2"/>
        <v>31278039.778035209</v>
      </c>
      <c r="L19" s="52">
        <f>Hypothèses!$D$38*(1+Hypothèses!$D$39)^$A19</f>
        <v>772859.80016666686</v>
      </c>
      <c r="M19" s="52">
        <f>Hypothèses!$D$45*K19</f>
        <v>555818.22227449645</v>
      </c>
      <c r="N19" s="52">
        <f>Hypothèses!$D$46*K19</f>
        <v>140560.11230423363</v>
      </c>
      <c r="O19" s="52">
        <f>-Hypothèses!$D$42*K19</f>
        <v>-223328.88165414581</v>
      </c>
      <c r="P19" s="52">
        <f>-Hypothèses!$D$43*K19</f>
        <v>-278472.12566482584</v>
      </c>
      <c r="Q19" s="53">
        <f t="shared" si="3"/>
        <v>32245476.905461632</v>
      </c>
      <c r="R19" s="60"/>
      <c r="S19" s="52">
        <f t="shared" si="4"/>
        <v>32645511.622396331</v>
      </c>
      <c r="T19" s="52">
        <f>Hypothèses!$E$38*(1+Hypothèses!$E$39)^$A19</f>
        <v>843119.78199999966</v>
      </c>
      <c r="U19" s="52">
        <f>Hypothèses!$E$45*S19</f>
        <v>624614.79632575961</v>
      </c>
      <c r="V19" s="52">
        <f>Hypothèses!$E$46*S19</f>
        <v>146705.38219263809</v>
      </c>
      <c r="W19" s="52">
        <f>-Hypothèses!$E$42*S19</f>
        <v>-204479.81116368147</v>
      </c>
      <c r="X19" s="52">
        <f>-Hypothèses!$E$43*S19</f>
        <v>-254968.93750838115</v>
      </c>
      <c r="Y19" s="53">
        <f t="shared" si="5"/>
        <v>33800502.834242672</v>
      </c>
      <c r="Z19" s="60"/>
      <c r="AA19" s="53">
        <f>CHOOSE(Hypothèses!$B$12,I19,Q19,Y19)</f>
        <v>32245476.905461632</v>
      </c>
    </row>
    <row r="20" spans="1:27">
      <c r="A20" s="20">
        <v>13</v>
      </c>
      <c r="B20" s="9" t="s">
        <v>240</v>
      </c>
      <c r="C20" s="12">
        <f t="shared" si="0"/>
        <v>30705698.829456031</v>
      </c>
      <c r="D20" s="12">
        <f>Hypothèses!$C$38*(1+Hypothèses!$C$39)^$A20</f>
        <v>702599.81833333336</v>
      </c>
      <c r="E20" s="12">
        <f>Hypothèses!$C$45*C20</f>
        <v>503169.53008568578</v>
      </c>
      <c r="F20" s="12">
        <f>Hypothèses!$C$46*C20</f>
        <v>137988.07426797872</v>
      </c>
      <c r="G20" s="12">
        <f>-Hypothèses!$C$42*C20</f>
        <v>-246760.97212576351</v>
      </c>
      <c r="H20" s="12">
        <f>-Hypothèses!$C$43*C20</f>
        <v>-307689.95004146418</v>
      </c>
      <c r="I20" s="46">
        <f t="shared" si="1"/>
        <v>31495005.329975802</v>
      </c>
      <c r="K20" s="12">
        <f t="shared" si="2"/>
        <v>32245476.905461632</v>
      </c>
      <c r="L20" s="12">
        <f>Hypothèses!$D$38*(1+Hypothèses!$D$39)^$A20</f>
        <v>779022.69274505042</v>
      </c>
      <c r="M20" s="12">
        <f>Hypothèses!$D$45*K20</f>
        <v>573009.81062672148</v>
      </c>
      <c r="N20" s="12">
        <f>Hypothèses!$D$46*K20</f>
        <v>144907.66963977471</v>
      </c>
      <c r="O20" s="12">
        <f>-Hypothèses!$D$42*K20</f>
        <v>-230236.49649420899</v>
      </c>
      <c r="P20" s="12">
        <f>-Hypothèses!$D$43*K20</f>
        <v>-287085.33401270624</v>
      </c>
      <c r="Q20" s="46">
        <f t="shared" si="3"/>
        <v>33225095.247966267</v>
      </c>
      <c r="S20" s="12">
        <f t="shared" si="4"/>
        <v>33800502.834242672</v>
      </c>
      <c r="T20" s="12">
        <f>Hypothèses!$E$38*(1+Hypothèses!$E$39)^$A20</f>
        <v>856027.49943026854</v>
      </c>
      <c r="U20" s="12">
        <f>Hypothèses!$E$45*S20</f>
        <v>646713.53409069381</v>
      </c>
      <c r="V20" s="12">
        <f>Hypothèses!$E$46*S20</f>
        <v>151895.78720521598</v>
      </c>
      <c r="W20" s="12">
        <f>-Hypothèses!$E$42*S20</f>
        <v>-211714.26310383811</v>
      </c>
      <c r="X20" s="12">
        <f>-Hypothèses!$E$43*S20</f>
        <v>-263989.68392896862</v>
      </c>
      <c r="Y20" s="46">
        <f t="shared" si="5"/>
        <v>34979435.707936049</v>
      </c>
      <c r="AA20" s="46">
        <f>CHOOSE(Hypothèses!$B$12,I20,Q20,Y20)</f>
        <v>33225095.247966267</v>
      </c>
    </row>
    <row r="21" spans="1:27">
      <c r="A21" s="20">
        <v>14</v>
      </c>
      <c r="B21" s="9" t="s">
        <v>241</v>
      </c>
      <c r="C21" s="12">
        <f t="shared" si="0"/>
        <v>31495005.329975802</v>
      </c>
      <c r="D21" s="12">
        <f>Hypothèses!$C$38*(1+Hypothèses!$C$39)^$A21</f>
        <v>702599.81833333336</v>
      </c>
      <c r="E21" s="12">
        <f>Hypothèses!$C$45*C21</f>
        <v>516103.77343790408</v>
      </c>
      <c r="F21" s="12">
        <f>Hypothèses!$C$46*C21</f>
        <v>141535.13192065907</v>
      </c>
      <c r="G21" s="12">
        <f>-Hypothèses!$C$42*C21</f>
        <v>-253104.09561092581</v>
      </c>
      <c r="H21" s="12">
        <f>-Hypothèses!$C$43*C21</f>
        <v>-315599.28566874372</v>
      </c>
      <c r="I21" s="46">
        <f t="shared" si="1"/>
        <v>32286540.672388028</v>
      </c>
      <c r="K21" s="12">
        <f t="shared" si="2"/>
        <v>33225095.247966267</v>
      </c>
      <c r="L21" s="12">
        <f>Hypothèses!$D$38*(1+Hypothèses!$D$39)^$A21</f>
        <v>785234.72909430217</v>
      </c>
      <c r="M21" s="12">
        <f>Hypothèses!$D$45*K21</f>
        <v>590417.86207439494</v>
      </c>
      <c r="N21" s="12">
        <f>Hypothèses!$D$46*K21</f>
        <v>149309.96803234963</v>
      </c>
      <c r="O21" s="12">
        <f>-Hypothèses!$D$42*K21</f>
        <v>-237231.08664218505</v>
      </c>
      <c r="P21" s="12">
        <f>-Hypothèses!$D$43*K21</f>
        <v>-295806.9931740035</v>
      </c>
      <c r="Q21" s="46">
        <f t="shared" si="3"/>
        <v>34217019.727351137</v>
      </c>
      <c r="S21" s="12">
        <f t="shared" si="4"/>
        <v>34979435.707936049</v>
      </c>
      <c r="T21" s="12">
        <f>Hypothèses!$E$38*(1+Hypothèses!$E$39)^$A21</f>
        <v>869132.82717975485</v>
      </c>
      <c r="U21" s="12">
        <f>Hypothèses!$E$45*S21</f>
        <v>669270.35370195517</v>
      </c>
      <c r="V21" s="12">
        <f>Hypothèses!$E$46*S21</f>
        <v>157193.78344479692</v>
      </c>
      <c r="W21" s="12">
        <f>-Hypothèses!$E$42*S21</f>
        <v>-219098.67705255668</v>
      </c>
      <c r="X21" s="12">
        <f>-Hypothèses!$E$43*S21</f>
        <v>-273197.42022289406</v>
      </c>
      <c r="Y21" s="46">
        <f t="shared" si="5"/>
        <v>36182736.574987106</v>
      </c>
      <c r="AA21" s="46">
        <f>CHOOSE(Hypothèses!$B$12,I21,Q21,Y21)</f>
        <v>34217019.727351137</v>
      </c>
    </row>
    <row r="22" spans="1:27">
      <c r="A22" s="20">
        <v>15</v>
      </c>
      <c r="B22" s="9" t="s">
        <v>242</v>
      </c>
      <c r="C22" s="12">
        <f t="shared" si="0"/>
        <v>32286540.672388028</v>
      </c>
      <c r="D22" s="12">
        <f>Hypothèses!$C$38*(1+Hypothèses!$C$39)^$A22</f>
        <v>702599.81833333336</v>
      </c>
      <c r="E22" s="12">
        <f>Hypothèses!$C$45*C22</f>
        <v>529074.54047694325</v>
      </c>
      <c r="F22" s="12">
        <f>Hypothèses!$C$46*C22</f>
        <v>145092.20574663338</v>
      </c>
      <c r="G22" s="12">
        <f>-Hypothèses!$C$42*C22</f>
        <v>-259465.1307936903</v>
      </c>
      <c r="H22" s="12">
        <f>-Hypothèses!$C$43*C22</f>
        <v>-323530.95565989322</v>
      </c>
      <c r="I22" s="46">
        <f t="shared" si="1"/>
        <v>33080311.150491353</v>
      </c>
      <c r="K22" s="12">
        <f t="shared" si="2"/>
        <v>34217019.727351137</v>
      </c>
      <c r="L22" s="12">
        <f>Hypothèses!$D$38*(1+Hypothèses!$D$39)^$A22</f>
        <v>791496.30109375226</v>
      </c>
      <c r="M22" s="12">
        <f>Hypothèses!$D$45*K22</f>
        <v>608044.59650771518</v>
      </c>
      <c r="N22" s="12">
        <f>Hypothèses!$D$46*K22</f>
        <v>153767.56886696353</v>
      </c>
      <c r="O22" s="12">
        <f>-Hypothèses!$D$42*K22</f>
        <v>-244313.54405442858</v>
      </c>
      <c r="P22" s="12">
        <f>-Hypothèses!$D$43*K22</f>
        <v>-304638.21534244821</v>
      </c>
      <c r="Q22" s="46">
        <f t="shared" si="3"/>
        <v>35221376.434422687</v>
      </c>
      <c r="S22" s="12">
        <f t="shared" si="4"/>
        <v>36182736.574987106</v>
      </c>
      <c r="T22" s="12">
        <f>Hypothèses!$E$38*(1+Hypothèses!$E$39)^$A22</f>
        <v>882438.79055781115</v>
      </c>
      <c r="U22" s="12">
        <f>Hypothèses!$E$45*S22</f>
        <v>692293.41226771753</v>
      </c>
      <c r="V22" s="12">
        <f>Hypothèses!$E$46*S22</f>
        <v>162601.28679886751</v>
      </c>
      <c r="W22" s="12">
        <f>-Hypothèses!$E$42*S22</f>
        <v>-226635.72339796892</v>
      </c>
      <c r="X22" s="12">
        <f>-Hypothèses!$E$43*S22</f>
        <v>-282595.47613709327</v>
      </c>
      <c r="Y22" s="46">
        <f t="shared" si="5"/>
        <v>37410838.86507643</v>
      </c>
      <c r="AA22" s="46">
        <f>CHOOSE(Hypothèses!$B$12,I22,Q22,Y22)</f>
        <v>35221376.434422687</v>
      </c>
    </row>
    <row r="23" spans="1:27">
      <c r="A23" s="20">
        <v>16</v>
      </c>
      <c r="B23" s="9" t="s">
        <v>243</v>
      </c>
      <c r="C23" s="12">
        <f t="shared" si="0"/>
        <v>33080311.150491353</v>
      </c>
      <c r="D23" s="12">
        <f>Hypothèses!$C$38*(1+Hypothèses!$C$39)^$A23</f>
        <v>702599.81833333336</v>
      </c>
      <c r="E23" s="12">
        <f>Hypothèses!$C$45*C23</f>
        <v>542081.93433830666</v>
      </c>
      <c r="F23" s="12">
        <f>Hypothèses!$C$46*C23</f>
        <v>148659.32402954891</v>
      </c>
      <c r="G23" s="12">
        <f>-Hypothèses!$C$42*C23</f>
        <v>-265844.12825306773</v>
      </c>
      <c r="H23" s="12">
        <f>-Hypothèses!$C$43*C23</f>
        <v>-331485.02308263839</v>
      </c>
      <c r="I23" s="46">
        <f t="shared" si="1"/>
        <v>33876323.075856842</v>
      </c>
      <c r="K23" s="12">
        <f t="shared" si="2"/>
        <v>35221376.434422687</v>
      </c>
      <c r="L23" s="12">
        <f>Hypothèses!$D$38*(1+Hypothèses!$D$39)^$A23</f>
        <v>797807.80374763196</v>
      </c>
      <c r="M23" s="12">
        <f>Hypothèses!$D$45*K23</f>
        <v>625892.25459036767</v>
      </c>
      <c r="N23" s="12">
        <f>Hypothèses!$D$46*K23</f>
        <v>158281.03878200037</v>
      </c>
      <c r="O23" s="12">
        <f>-Hypothèses!$D$42*K23</f>
        <v>-251484.76903412325</v>
      </c>
      <c r="P23" s="12">
        <f>-Hypothèses!$D$43*K23</f>
        <v>-313580.12311955722</v>
      </c>
      <c r="Q23" s="46">
        <f t="shared" si="3"/>
        <v>36238292.639389008</v>
      </c>
      <c r="S23" s="12">
        <f t="shared" si="4"/>
        <v>37410838.86507643</v>
      </c>
      <c r="T23" s="12">
        <f>Hypothèses!$E$38*(1+Hypothèses!$E$39)^$A23</f>
        <v>895948.46118967456</v>
      </c>
      <c r="U23" s="12">
        <f>Hypothèses!$E$45*S23</f>
        <v>715791.00270722783</v>
      </c>
      <c r="V23" s="12">
        <f>Hypothèses!$E$46*S23</f>
        <v>168120.24505331877</v>
      </c>
      <c r="W23" s="12">
        <f>-Hypothèses!$E$42*S23</f>
        <v>-234328.11698860477</v>
      </c>
      <c r="X23" s="12">
        <f>-Hypothèses!$E$43*S23</f>
        <v>-292187.23685683846</v>
      </c>
      <c r="Y23" s="46">
        <f t="shared" si="5"/>
        <v>38664183.220181204</v>
      </c>
      <c r="AA23" s="46">
        <f>CHOOSE(Hypothèses!$B$12,I23,Q23,Y23)</f>
        <v>36238292.639389008</v>
      </c>
    </row>
    <row r="24" spans="1:27">
      <c r="A24" s="20">
        <v>17</v>
      </c>
      <c r="B24" s="9" t="s">
        <v>244</v>
      </c>
      <c r="C24" s="12">
        <f t="shared" si="0"/>
        <v>33876323.075856842</v>
      </c>
      <c r="D24" s="12">
        <f>Hypothèses!$C$38*(1+Hypothèses!$C$39)^$A24</f>
        <v>702599.81833333336</v>
      </c>
      <c r="E24" s="12">
        <f>Hypothèses!$C$45*C24</f>
        <v>555126.05844873167</v>
      </c>
      <c r="F24" s="12">
        <f>Hypothèses!$C$46*C24</f>
        <v>152236.51513292026</v>
      </c>
      <c r="G24" s="12">
        <f>-Hypothèses!$C$42*C24</f>
        <v>-272241.13871089381</v>
      </c>
      <c r="H24" s="12">
        <f>-Hypothèses!$C$43*C24</f>
        <v>-339461.55118279549</v>
      </c>
      <c r="I24" s="46">
        <f t="shared" si="1"/>
        <v>34674582.777878135</v>
      </c>
      <c r="K24" s="12">
        <f t="shared" si="2"/>
        <v>36238292.639389008</v>
      </c>
      <c r="L24" s="12">
        <f>Hypothèses!$D$38*(1+Hypothèses!$D$39)^$A24</f>
        <v>804169.63520999078</v>
      </c>
      <c r="M24" s="12">
        <f>Hypothèses!$D$45*K24</f>
        <v>643963.0979442863</v>
      </c>
      <c r="N24" s="12">
        <f>Hypothèses!$D$46*K24</f>
        <v>162850.949715947</v>
      </c>
      <c r="O24" s="12">
        <f>-Hypothèses!$D$42*K24</f>
        <v>-258745.67030551913</v>
      </c>
      <c r="P24" s="12">
        <f>-Hypothèses!$D$43*K24</f>
        <v>-322633.84960720123</v>
      </c>
      <c r="Q24" s="46">
        <f t="shared" si="3"/>
        <v>37267896.80234652</v>
      </c>
      <c r="S24" s="12">
        <f t="shared" si="4"/>
        <v>38664183.220181204</v>
      </c>
      <c r="T24" s="12">
        <f>Hypothèses!$E$38*(1+Hypothèses!$E$39)^$A24</f>
        <v>909664.95772553748</v>
      </c>
      <c r="U24" s="12">
        <f>Hypothèses!$E$45*S24</f>
        <v>739771.55593442032</v>
      </c>
      <c r="V24" s="12">
        <f>Hypothèses!$E$46*S24</f>
        <v>173752.63840531898</v>
      </c>
      <c r="W24" s="12">
        <f>-Hypothèses!$E$42*S24</f>
        <v>-242178.61784824109</v>
      </c>
      <c r="X24" s="12">
        <f>-Hypothèses!$E$43*S24</f>
        <v>-301976.14389709313</v>
      </c>
      <c r="Y24" s="46">
        <f t="shared" si="5"/>
        <v>39943217.610501148</v>
      </c>
      <c r="AA24" s="46">
        <f>CHOOSE(Hypothèses!$B$12,I24,Q24,Y24)</f>
        <v>37267896.80234652</v>
      </c>
    </row>
    <row r="25" spans="1:27">
      <c r="A25" s="20">
        <v>18</v>
      </c>
      <c r="B25" s="9" t="s">
        <v>245</v>
      </c>
      <c r="C25" s="12">
        <f t="shared" si="0"/>
        <v>34674582.777878135</v>
      </c>
      <c r="D25" s="12">
        <f>Hypothèses!$C$38*(1+Hypothèses!$C$39)^$A25</f>
        <v>702599.81833333336</v>
      </c>
      <c r="E25" s="12">
        <f>Hypothèses!$C$45*C25</f>
        <v>568207.01652701129</v>
      </c>
      <c r="F25" s="12">
        <f>Hypothèses!$C$46*C25</f>
        <v>155823.80750035471</v>
      </c>
      <c r="G25" s="12">
        <f>-Hypothèses!$C$42*C25</f>
        <v>-278656.21303223231</v>
      </c>
      <c r="H25" s="12">
        <f>-Hypothèses!$C$43*C25</f>
        <v>-347460.60338477389</v>
      </c>
      <c r="I25" s="46">
        <f t="shared" si="1"/>
        <v>35475096.603821836</v>
      </c>
      <c r="K25" s="12">
        <f t="shared" si="2"/>
        <v>37267896.80234652</v>
      </c>
      <c r="L25" s="12">
        <f>Hypothèses!$D$38*(1+Hypothèses!$D$39)^$A25</f>
        <v>810582.19680981571</v>
      </c>
      <c r="M25" s="12">
        <f>Hypothèses!$D$45*K25</f>
        <v>662259.40933600394</v>
      </c>
      <c r="N25" s="12">
        <f>Hypothèses!$D$46*K25</f>
        <v>167477.87895451917</v>
      </c>
      <c r="O25" s="12">
        <f>-Hypothèses!$D$42*K25</f>
        <v>-266097.16508880886</v>
      </c>
      <c r="P25" s="12">
        <f>-Hypothèses!$D$43*K25</f>
        <v>-331800.53850096866</v>
      </c>
      <c r="Q25" s="46">
        <f t="shared" si="3"/>
        <v>38310318.583857074</v>
      </c>
      <c r="S25" s="12">
        <f t="shared" si="4"/>
        <v>39943217.610501148</v>
      </c>
      <c r="T25" s="12">
        <f>Hypothèses!$E$38*(1+Hypothèses!$E$39)^$A25</f>
        <v>923591.44656047586</v>
      </c>
      <c r="U25" s="12">
        <f>Hypothèses!$E$45*S25</f>
        <v>764243.64307595708</v>
      </c>
      <c r="V25" s="12">
        <f>Hypothèses!$E$46*S25</f>
        <v>179500.47998427236</v>
      </c>
      <c r="W25" s="12">
        <f>-Hypothèses!$E$42*S25</f>
        <v>-250190.03190202024</v>
      </c>
      <c r="X25" s="12">
        <f>-Hypothèses!$E$43*S25</f>
        <v>-311965.69600792072</v>
      </c>
      <c r="Y25" s="46">
        <f t="shared" si="5"/>
        <v>41248397.452211909</v>
      </c>
      <c r="AA25" s="46">
        <f>CHOOSE(Hypothèses!$B$12,I25,Q25,Y25)</f>
        <v>38310318.583857074</v>
      </c>
    </row>
    <row r="26" spans="1:27">
      <c r="A26" s="20">
        <v>19</v>
      </c>
      <c r="B26" s="9" t="s">
        <v>246</v>
      </c>
      <c r="C26" s="12">
        <f t="shared" si="0"/>
        <v>35475096.603821836</v>
      </c>
      <c r="D26" s="12">
        <f>Hypothèses!$C$38*(1+Hypothèses!$C$39)^$A26</f>
        <v>702599.81833333336</v>
      </c>
      <c r="E26" s="12">
        <f>Hypothèses!$C$45*C26</f>
        <v>581324.91258482006</v>
      </c>
      <c r="F26" s="12">
        <f>Hypothèses!$C$46*C26</f>
        <v>159421.22965577876</v>
      </c>
      <c r="G26" s="12">
        <f>-Hypothèses!$C$42*C26</f>
        <v>-285089.40222577984</v>
      </c>
      <c r="H26" s="12">
        <f>-Hypothèses!$C$43*C26</f>
        <v>-355482.24329208105</v>
      </c>
      <c r="I26" s="46">
        <f t="shared" si="1"/>
        <v>36277870.918877915</v>
      </c>
      <c r="K26" s="12">
        <f t="shared" si="2"/>
        <v>38310318.583857074</v>
      </c>
      <c r="L26" s="12">
        <f>Hypothèses!$D$38*(1+Hypothèses!$D$39)^$A26</f>
        <v>817045.89307634626</v>
      </c>
      <c r="M26" s="12">
        <f>Hypothèses!$D$45*K26</f>
        <v>680783.49286461074</v>
      </c>
      <c r="N26" s="12">
        <f>Hypothèses!$D$46*K26</f>
        <v>172162.40917819378</v>
      </c>
      <c r="O26" s="12">
        <f>-Hypothèses!$D$42*K26</f>
        <v>-273540.17917564936</v>
      </c>
      <c r="P26" s="12">
        <f>-Hypothèses!$D$43*K26</f>
        <v>-341081.34418433538</v>
      </c>
      <c r="Q26" s="46">
        <f t="shared" si="3"/>
        <v>39365688.855616234</v>
      </c>
      <c r="S26" s="12">
        <f t="shared" si="4"/>
        <v>41248397.452211909</v>
      </c>
      <c r="T26" s="12">
        <f>Hypothèses!$E$38*(1+Hypothèses!$E$39)^$A26</f>
        <v>937731.14256539731</v>
      </c>
      <c r="U26" s="12">
        <f>Hypothèses!$E$45*S26</f>
        <v>789215.97772423283</v>
      </c>
      <c r="V26" s="12">
        <f>Hypothèses!$E$46*S26</f>
        <v>185365.81638098983</v>
      </c>
      <c r="W26" s="12">
        <f>-Hypothèses!$E$42*S26</f>
        <v>-258365.21171401517</v>
      </c>
      <c r="X26" s="12">
        <f>-Hypothèses!$E$43*S26</f>
        <v>-322159.45009416534</v>
      </c>
      <c r="Y26" s="46">
        <f t="shared" si="5"/>
        <v>42580185.727074355</v>
      </c>
      <c r="AA26" s="46">
        <f>CHOOSE(Hypothèses!$B$12,I26,Q26,Y26)</f>
        <v>39365688.855616234</v>
      </c>
    </row>
    <row r="27" spans="1:27">
      <c r="A27" s="20">
        <v>20</v>
      </c>
      <c r="B27" s="9" t="s">
        <v>247</v>
      </c>
      <c r="C27" s="12">
        <f t="shared" si="0"/>
        <v>36277870.918877915</v>
      </c>
      <c r="D27" s="12">
        <f>Hypothèses!$C$38*(1+Hypothèses!$C$39)^$A27</f>
        <v>702599.81833333336</v>
      </c>
      <c r="E27" s="12">
        <f>Hypothèses!$C$45*C27</f>
        <v>594479.8509275401</v>
      </c>
      <c r="F27" s="12">
        <f>Hypothèses!$C$46*C27</f>
        <v>163028.8102036645</v>
      </c>
      <c r="G27" s="12">
        <f>-Hypothèses!$C$42*C27</f>
        <v>-291540.75744427112</v>
      </c>
      <c r="H27" s="12">
        <f>-Hypothèses!$C$43*C27</f>
        <v>-363526.53468782752</v>
      </c>
      <c r="I27" s="46">
        <f t="shared" si="1"/>
        <v>37082912.106210358</v>
      </c>
      <c r="K27" s="12">
        <f t="shared" si="2"/>
        <v>39365688.855616234</v>
      </c>
      <c r="L27" s="12">
        <f>Hypothèses!$D$38*(1+Hypothèses!$D$39)^$A27</f>
        <v>823561.13176459621</v>
      </c>
      <c r="M27" s="12">
        <f>Hypothèses!$D$45*K27</f>
        <v>699537.6741513313</v>
      </c>
      <c r="N27" s="12">
        <f>Hypothèses!$D$46*K27</f>
        <v>176905.12851015109</v>
      </c>
      <c r="O27" s="12">
        <f>-Hypothèses!$D$42*K27</f>
        <v>-281075.64700533479</v>
      </c>
      <c r="P27" s="12">
        <f>-Hypothèses!$D$43*K27</f>
        <v>-350477.43182364519</v>
      </c>
      <c r="Q27" s="46">
        <f t="shared" si="3"/>
        <v>40434139.711213335</v>
      </c>
      <c r="S27" s="12">
        <f t="shared" si="4"/>
        <v>42580185.727074355</v>
      </c>
      <c r="T27" s="12">
        <f>Hypothèses!$E$38*(1+Hypothèses!$E$39)^$A27</f>
        <v>952087.30982918153</v>
      </c>
      <c r="U27" s="12">
        <f>Hypothèses!$E$45*S27</f>
        <v>814697.41822588968</v>
      </c>
      <c r="V27" s="12">
        <f>Hypothèses!$E$46*S27</f>
        <v>191350.72818520028</v>
      </c>
      <c r="W27" s="12">
        <f>-Hypothèses!$E$42*S27</f>
        <v>-266707.05723641929</v>
      </c>
      <c r="X27" s="12">
        <f>-Hypothèses!$E$43*S27</f>
        <v>-332561.02214962797</v>
      </c>
      <c r="Y27" s="46">
        <f t="shared" si="5"/>
        <v>43939053.103928581</v>
      </c>
      <c r="AA27" s="46">
        <f>CHOOSE(Hypothèses!$B$12,I27,Q27,Y27)</f>
        <v>40434139.711213335</v>
      </c>
    </row>
    <row r="28" spans="1:27">
      <c r="A28" s="20">
        <v>21</v>
      </c>
      <c r="B28" s="9" t="s">
        <v>248</v>
      </c>
      <c r="C28" s="12">
        <f t="shared" si="0"/>
        <v>37082912.106210358</v>
      </c>
      <c r="D28" s="12">
        <f>Hypothèses!$C$38*(1+Hypothèses!$C$39)^$A28</f>
        <v>702599.81833333336</v>
      </c>
      <c r="E28" s="12">
        <f>Hypothèses!$C$45*C28</f>
        <v>607671.93615509081</v>
      </c>
      <c r="F28" s="12">
        <f>Hypothèses!$C$46*C28</f>
        <v>166646.57782925738</v>
      </c>
      <c r="G28" s="12">
        <f>-Hypothèses!$C$42*C28</f>
        <v>-298010.32998488576</v>
      </c>
      <c r="H28" s="12">
        <f>-Hypothèses!$C$43*C28</f>
        <v>-371593.54153523454</v>
      </c>
      <c r="I28" s="46">
        <f t="shared" si="1"/>
        <v>37890226.567007914</v>
      </c>
      <c r="K28" s="12">
        <f t="shared" si="2"/>
        <v>40434139.711213335</v>
      </c>
      <c r="L28" s="12">
        <f>Hypothèses!$D$38*(1+Hypothèses!$D$39)^$A28</f>
        <v>830128.3238810742</v>
      </c>
      <c r="M28" s="12">
        <f>Hypothèses!$D$45*K28</f>
        <v>718524.30053073377</v>
      </c>
      <c r="N28" s="12">
        <f>Hypothèses!$D$46*K28</f>
        <v>181706.63056462916</v>
      </c>
      <c r="O28" s="12">
        <f>-Hypothèses!$D$42*K28</f>
        <v>-288704.51174162439</v>
      </c>
      <c r="P28" s="12">
        <f>-Hypothèses!$D$43*K28</f>
        <v>-359989.97746390838</v>
      </c>
      <c r="Q28" s="46">
        <f t="shared" si="3"/>
        <v>41515804.47698424</v>
      </c>
      <c r="S28" s="12">
        <f t="shared" si="4"/>
        <v>43939053.103928581</v>
      </c>
      <c r="T28" s="12">
        <f>Hypothèses!$E$38*(1+Hypothèses!$E$39)^$A28</f>
        <v>966663.26241217996</v>
      </c>
      <c r="U28" s="12">
        <f>Hypothèses!$E$45*S28</f>
        <v>840696.97000639315</v>
      </c>
      <c r="V28" s="12">
        <f>Hypothèses!$E$46*S28</f>
        <v>197457.33053153145</v>
      </c>
      <c r="W28" s="12">
        <f>-Hypothèses!$E$42*S28</f>
        <v>-275218.51657054148</v>
      </c>
      <c r="X28" s="12">
        <f>-Hypothèses!$E$43*S28</f>
        <v>-343174.08820596233</v>
      </c>
      <c r="Y28" s="46">
        <f t="shared" si="5"/>
        <v>45325478.062102184</v>
      </c>
      <c r="AA28" s="46">
        <f>CHOOSE(Hypothèses!$B$12,I28,Q28,Y28)</f>
        <v>41515804.47698424</v>
      </c>
    </row>
    <row r="29" spans="1:27">
      <c r="A29" s="20">
        <v>22</v>
      </c>
      <c r="B29" s="9" t="s">
        <v>249</v>
      </c>
      <c r="C29" s="12">
        <f t="shared" si="0"/>
        <v>37890226.567007914</v>
      </c>
      <c r="D29" s="12">
        <f>Hypothèses!$C$38*(1+Hypothèses!$C$39)^$A29</f>
        <v>702599.81833333336</v>
      </c>
      <c r="E29" s="12">
        <f>Hypothèses!$C$45*C29</f>
        <v>620901.27316276066</v>
      </c>
      <c r="F29" s="12">
        <f>Hypothèses!$C$46*C29</f>
        <v>170274.5612988041</v>
      </c>
      <c r="G29" s="12">
        <f>-Hypothèses!$C$42*C29</f>
        <v>-304498.17128965637</v>
      </c>
      <c r="H29" s="12">
        <f>-Hypothèses!$C$43*C29</f>
        <v>-379683.3279781426</v>
      </c>
      <c r="I29" s="46">
        <f t="shared" si="1"/>
        <v>38699820.72053501</v>
      </c>
      <c r="K29" s="12">
        <f t="shared" si="2"/>
        <v>41515804.47698424</v>
      </c>
      <c r="L29" s="12">
        <f>Hypothèses!$D$38*(1+Hypothèses!$D$39)^$A29</f>
        <v>836747.88370971219</v>
      </c>
      <c r="M29" s="12">
        <f>Hypothèses!$D$45*K29</f>
        <v>737745.74124358629</v>
      </c>
      <c r="N29" s="12">
        <f>Hypothèses!$D$46*K29</f>
        <v>186567.51449569504</v>
      </c>
      <c r="O29" s="12">
        <f>-Hypothèses!$D$42*K29</f>
        <v>-296427.72535023256</v>
      </c>
      <c r="P29" s="12">
        <f>-Hypothèses!$D$43*K29</f>
        <v>-369620.16812542465</v>
      </c>
      <c r="Q29" s="46">
        <f t="shared" si="3"/>
        <v>42610817.722957574</v>
      </c>
      <c r="S29" s="12">
        <f t="shared" si="4"/>
        <v>45325478.062102184</v>
      </c>
      <c r="T29" s="12">
        <f>Hypothèses!$E$38*(1+Hypothèses!$E$39)^$A29</f>
        <v>981462.36511125322</v>
      </c>
      <c r="U29" s="12">
        <f>Hypothèses!$E$45*S29</f>
        <v>867223.78793123318</v>
      </c>
      <c r="V29" s="12">
        <f>Hypothèses!$E$46*S29</f>
        <v>203687.77365409324</v>
      </c>
      <c r="W29" s="12">
        <f>-Hypothèses!$E$42*S29</f>
        <v>-283902.58673979138</v>
      </c>
      <c r="X29" s="12">
        <f>-Hypothèses!$E$43*S29</f>
        <v>-354002.385296522</v>
      </c>
      <c r="Y29" s="46">
        <f t="shared" si="5"/>
        <v>46739947.01676245</v>
      </c>
      <c r="AA29" s="46">
        <f>CHOOSE(Hypothèses!$B$12,I29,Q29,Y29)</f>
        <v>42610817.722957574</v>
      </c>
    </row>
    <row r="30" spans="1:27">
      <c r="A30" s="20">
        <v>23</v>
      </c>
      <c r="B30" s="9" t="s">
        <v>250</v>
      </c>
      <c r="C30" s="12">
        <f t="shared" si="0"/>
        <v>38699820.72053501</v>
      </c>
      <c r="D30" s="12">
        <f>Hypothèses!$C$38*(1+Hypothèses!$C$39)^$A30</f>
        <v>702599.81833333336</v>
      </c>
      <c r="E30" s="12">
        <f>Hypothèses!$C$45*C30</f>
        <v>634167.96714204119</v>
      </c>
      <c r="F30" s="12">
        <f>Hypothèses!$C$46*C30</f>
        <v>173912.78945978152</v>
      </c>
      <c r="G30" s="12">
        <f>-Hypothèses!$C$42*C30</f>
        <v>-311004.33294587751</v>
      </c>
      <c r="H30" s="12">
        <f>-Hypothèses!$C$43*C30</f>
        <v>-387795.95834152156</v>
      </c>
      <c r="I30" s="46">
        <f t="shared" si="1"/>
        <v>39511701.004182763</v>
      </c>
      <c r="K30" s="12">
        <f t="shared" si="2"/>
        <v>42610817.722957574</v>
      </c>
      <c r="L30" s="12">
        <f>Hypothèses!$D$38*(1+Hypothèses!$D$39)^$A30</f>
        <v>843420.22883800138</v>
      </c>
      <c r="M30" s="12">
        <f>Hypothèses!$D$45*K30</f>
        <v>757204.38763137325</v>
      </c>
      <c r="N30" s="12">
        <f>Hypothèses!$D$46*K30</f>
        <v>191488.38504643593</v>
      </c>
      <c r="O30" s="12">
        <f>-Hypothèses!$D$42*K30</f>
        <v>-304246.24867698632</v>
      </c>
      <c r="P30" s="12">
        <f>-Hypothèses!$D$43*K30</f>
        <v>-379369.20190123917</v>
      </c>
      <c r="Q30" s="46">
        <f t="shared" si="3"/>
        <v>43719315.273895159</v>
      </c>
      <c r="S30" s="12">
        <f t="shared" si="4"/>
        <v>46739947.01676245</v>
      </c>
      <c r="T30" s="12">
        <f>Hypothèses!$E$38*(1+Hypothèses!$E$39)^$A30</f>
        <v>996488.03423651995</v>
      </c>
      <c r="U30" s="12">
        <f>Hypothèses!$E$45*S30</f>
        <v>894287.17870431917</v>
      </c>
      <c r="V30" s="12">
        <f>Hypothèses!$E$46*S30</f>
        <v>210044.24344979692</v>
      </c>
      <c r="W30" s="12">
        <f>-Hypothèses!$E$42*S30</f>
        <v>-292762.31447484071</v>
      </c>
      <c r="X30" s="12">
        <f>-Hypothèses!$E$43*S30</f>
        <v>-365049.71243538964</v>
      </c>
      <c r="Y30" s="46">
        <f t="shared" si="5"/>
        <v>48182954.446242861</v>
      </c>
      <c r="AA30" s="46">
        <f>CHOOSE(Hypothèses!$B$12,I30,Q30,Y30)</f>
        <v>43719315.273895159</v>
      </c>
    </row>
    <row r="31" spans="1:27">
      <c r="A31" s="50">
        <v>24</v>
      </c>
      <c r="B31" s="51" t="s">
        <v>251</v>
      </c>
      <c r="C31" s="52">
        <f t="shared" si="0"/>
        <v>39511701.004182763</v>
      </c>
      <c r="D31" s="52">
        <f>Hypothèses!$C$38*(1+Hypothèses!$C$39)^$A31</f>
        <v>702599.81833333336</v>
      </c>
      <c r="E31" s="52">
        <f>Hypothèses!$C$45*C31</f>
        <v>647472.1235814637</v>
      </c>
      <c r="F31" s="52">
        <f>Hypothèses!$C$46*C31</f>
        <v>177561.29124112587</v>
      </c>
      <c r="G31" s="52">
        <f>-Hypothèses!$C$42*C31</f>
        <v>-317528.86668651568</v>
      </c>
      <c r="H31" s="52">
        <f>-Hypothèses!$C$43*C31</f>
        <v>-395931.49713198171</v>
      </c>
      <c r="I31" s="53">
        <f t="shared" si="1"/>
        <v>40325873.873520188</v>
      </c>
      <c r="J31" s="60"/>
      <c r="K31" s="52">
        <f t="shared" si="2"/>
        <v>43719315.273895159</v>
      </c>
      <c r="L31" s="52">
        <f>Hypothèses!$D$38*(1+Hypothèses!$D$39)^$A31</f>
        <v>850145.78018333402</v>
      </c>
      <c r="M31" s="52">
        <f>Hypothèses!$D$45*K31</f>
        <v>776902.65333248768</v>
      </c>
      <c r="N31" s="52">
        <f>Hypothèses!$D$46*K31</f>
        <v>196469.85259857363</v>
      </c>
      <c r="O31" s="52">
        <f>-Hypothèses!$D$42*K31</f>
        <v>-312161.05152665527</v>
      </c>
      <c r="P31" s="52">
        <f>-Hypothèses!$D$43*K31</f>
        <v>-389238.28805543657</v>
      </c>
      <c r="Q31" s="53">
        <f t="shared" si="3"/>
        <v>44841434.220427461</v>
      </c>
      <c r="R31" s="60"/>
      <c r="S31" s="52">
        <f t="shared" si="4"/>
        <v>48182954.446242861</v>
      </c>
      <c r="T31" s="52">
        <f>Hypothèses!$E$38*(1+Hypothèses!$E$39)^$A31</f>
        <v>1011743.7383999992</v>
      </c>
      <c r="U31" s="52">
        <f>Hypothèses!$E$45*S31</f>
        <v>921896.6033041504</v>
      </c>
      <c r="V31" s="52">
        <f>Hypothèses!$E$46*S31</f>
        <v>216528.96205054651</v>
      </c>
      <c r="W31" s="52">
        <f>-Hypothèses!$E$42*S31</f>
        <v>-301800.79701115104</v>
      </c>
      <c r="X31" s="52">
        <f>-Hypothèses!$E$43*S31</f>
        <v>-376319.93161182641</v>
      </c>
      <c r="Y31" s="53">
        <f t="shared" si="5"/>
        <v>49655003.021374576</v>
      </c>
      <c r="Z31" s="60"/>
      <c r="AA31" s="53">
        <f>CHOOSE(Hypothèses!$B$12,I31,Q31,Y31)</f>
        <v>44841434.220427461</v>
      </c>
    </row>
    <row r="32" spans="1:27">
      <c r="A32" s="20">
        <v>25</v>
      </c>
      <c r="B32" s="9" t="s">
        <v>252</v>
      </c>
      <c r="C32" s="12">
        <f t="shared" si="0"/>
        <v>40325873.873520188</v>
      </c>
      <c r="D32" s="12">
        <f>Hypothèses!$C$38*(1+Hypothèses!$C$39)^$A32</f>
        <v>702599.81833333336</v>
      </c>
      <c r="E32" s="12">
        <f>Hypothèses!$C$45*C32</f>
        <v>660813.84826743731</v>
      </c>
      <c r="F32" s="12">
        <f>Hypothèses!$C$46*C32</f>
        <v>181220.09565346292</v>
      </c>
      <c r="G32" s="12">
        <f>-Hypothèses!$C$42*C32</f>
        <v>-324071.82439062098</v>
      </c>
      <c r="H32" s="12">
        <f>-Hypothèses!$C$43*C32</f>
        <v>-404090.00903828721</v>
      </c>
      <c r="I32" s="46">
        <f t="shared" si="1"/>
        <v>41142345.802345514</v>
      </c>
      <c r="K32" s="12">
        <f t="shared" si="2"/>
        <v>44841434.220427461</v>
      </c>
      <c r="L32" s="12">
        <f>Hypothèses!$D$38*(1+Hypothèses!$D$39)^$A32</f>
        <v>856924.96201955574</v>
      </c>
      <c r="M32" s="12">
        <f>Hypothèses!$D$45*K32</f>
        <v>796842.97448010952</v>
      </c>
      <c r="N32" s="12">
        <f>Hypothèses!$D$46*K32</f>
        <v>201512.53322250614</v>
      </c>
      <c r="O32" s="12">
        <f>-Hypothèses!$D$42*K32</f>
        <v>-320173.11274245975</v>
      </c>
      <c r="P32" s="12">
        <f>-Hypothèses!$D$43*K32</f>
        <v>-399228.64712228137</v>
      </c>
      <c r="Q32" s="46">
        <f t="shared" si="3"/>
        <v>45977312.930284888</v>
      </c>
      <c r="S32" s="12">
        <f t="shared" si="4"/>
        <v>49655003.021374576</v>
      </c>
      <c r="T32" s="12">
        <f>Hypothèses!$E$38*(1+Hypothèses!$E$39)^$A32</f>
        <v>1027232.9993163218</v>
      </c>
      <c r="U32" s="12">
        <f>Hypothèses!$E$45*S32</f>
        <v>950061.6794583475</v>
      </c>
      <c r="V32" s="12">
        <f>Hypothèses!$E$46*S32</f>
        <v>223144.18840444041</v>
      </c>
      <c r="W32" s="12">
        <f>-Hypothèses!$E$42*S32</f>
        <v>-311021.18289905961</v>
      </c>
      <c r="X32" s="12">
        <f>-Hypothèses!$E$43*S32</f>
        <v>-387816.9688003803</v>
      </c>
      <c r="Y32" s="46">
        <f t="shared" si="5"/>
        <v>51156603.736854248</v>
      </c>
      <c r="AA32" s="46">
        <f>CHOOSE(Hypothèses!$B$12,I32,Q32,Y32)</f>
        <v>45977312.930284888</v>
      </c>
    </row>
    <row r="33" spans="1:27">
      <c r="A33" s="20">
        <v>26</v>
      </c>
      <c r="B33" s="9" t="s">
        <v>253</v>
      </c>
      <c r="C33" s="12">
        <f t="shared" si="0"/>
        <v>41142345.802345514</v>
      </c>
      <c r="D33" s="12">
        <f>Hypothèses!$C$38*(1+Hypothèses!$C$39)^$A33</f>
        <v>702599.81833333336</v>
      </c>
      <c r="E33" s="12">
        <f>Hypothèses!$C$45*C33</f>
        <v>674193.24728509097</v>
      </c>
      <c r="F33" s="12">
        <f>Hypothèses!$C$46*C33</f>
        <v>184889.23178933846</v>
      </c>
      <c r="G33" s="12">
        <f>-Hypothèses!$C$42*C33</f>
        <v>-330633.2580837392</v>
      </c>
      <c r="H33" s="12">
        <f>-Hypothèses!$C$43*C33</f>
        <v>-412271.55893187004</v>
      </c>
      <c r="I33" s="46">
        <f t="shared" si="1"/>
        <v>41961123.282737665</v>
      </c>
      <c r="K33" s="12">
        <f t="shared" si="2"/>
        <v>45977312.930284888</v>
      </c>
      <c r="L33" s="12">
        <f>Hypothèses!$D$38*(1+Hypothèses!$D$39)^$A33</f>
        <v>863758.20200373279</v>
      </c>
      <c r="M33" s="12">
        <f>Hypothèses!$D$45*K33</f>
        <v>817027.80990178965</v>
      </c>
      <c r="N33" s="12">
        <f>Hypothèses!$D$46*K33</f>
        <v>206617.04872777982</v>
      </c>
      <c r="O33" s="12">
        <f>-Hypothèses!$D$42*K33</f>
        <v>-328283.42028626415</v>
      </c>
      <c r="P33" s="12">
        <f>-Hypothèses!$D$43*K33</f>
        <v>-409341.51100621134</v>
      </c>
      <c r="Q33" s="46">
        <f t="shared" si="3"/>
        <v>47127091.059625715</v>
      </c>
      <c r="S33" s="12">
        <f t="shared" si="4"/>
        <v>51156603.736854248</v>
      </c>
      <c r="T33" s="12">
        <f>Hypothèses!$E$38*(1+Hypothèses!$E$39)^$A33</f>
        <v>1042959.3926157054</v>
      </c>
      <c r="U33" s="12">
        <f>Hypothèses!$E$45*S33</f>
        <v>978792.18415714637</v>
      </c>
      <c r="V33" s="12">
        <f>Hypothèses!$E$46*S33</f>
        <v>229892.21886612425</v>
      </c>
      <c r="W33" s="12">
        <f>-Hypothèses!$E$42*S33</f>
        <v>-320426.67282662087</v>
      </c>
      <c r="X33" s="12">
        <f>-Hypothèses!$E$43*S33</f>
        <v>-399544.81498689915</v>
      </c>
      <c r="Y33" s="46">
        <f t="shared" si="5"/>
        <v>52688276.044679709</v>
      </c>
      <c r="AA33" s="46">
        <f>CHOOSE(Hypothèses!$B$12,I33,Q33,Y33)</f>
        <v>47127091.059625715</v>
      </c>
    </row>
    <row r="34" spans="1:27">
      <c r="A34" s="20">
        <v>27</v>
      </c>
      <c r="B34" s="9" t="s">
        <v>254</v>
      </c>
      <c r="C34" s="12">
        <f t="shared" si="0"/>
        <v>41961123.282737665</v>
      </c>
      <c r="D34" s="12">
        <f>Hypothèses!$C$38*(1+Hypothèses!$C$39)^$A34</f>
        <v>702599.81833333336</v>
      </c>
      <c r="E34" s="12">
        <f>Hypothèses!$C$45*C34</f>
        <v>687610.42701911624</v>
      </c>
      <c r="F34" s="12">
        <f>Hypothèses!$C$46*C34</f>
        <v>188568.72882344984</v>
      </c>
      <c r="G34" s="12">
        <f>-Hypothèses!$C$42*C34</f>
        <v>-337213.21993832599</v>
      </c>
      <c r="H34" s="12">
        <f>-Hypothèses!$C$43*C34</f>
        <v>-420476.21186734596</v>
      </c>
      <c r="I34" s="46">
        <f t="shared" si="1"/>
        <v>42782212.825107902</v>
      </c>
      <c r="K34" s="12">
        <f t="shared" si="2"/>
        <v>47127091.059625715</v>
      </c>
      <c r="L34" s="12">
        <f>Hypothèses!$D$38*(1+Hypothèses!$D$39)^$A34</f>
        <v>870645.93120312784</v>
      </c>
      <c r="M34" s="12">
        <f>Hypothèses!$D$45*K34</f>
        <v>837459.64132074884</v>
      </c>
      <c r="N34" s="12">
        <f>Hypothèses!$D$46*K34</f>
        <v>211784.0267139959</v>
      </c>
      <c r="O34" s="12">
        <f>-Hypothèses!$D$42*K34</f>
        <v>-336492.97131945915</v>
      </c>
      <c r="P34" s="12">
        <f>-Hypothèses!$D$43*K34</f>
        <v>-419578.12308269163</v>
      </c>
      <c r="Q34" s="46">
        <f t="shared" si="3"/>
        <v>48290909.56446144</v>
      </c>
      <c r="S34" s="12">
        <f t="shared" si="4"/>
        <v>52688276.044679709</v>
      </c>
      <c r="T34" s="12">
        <f>Hypothèses!$E$38*(1+Hypothèses!$E$39)^$A34</f>
        <v>1058926.5486693729</v>
      </c>
      <c r="U34" s="12">
        <f>Hypothèses!$E$45*S34</f>
        <v>1008098.0562064563</v>
      </c>
      <c r="V34" s="12">
        <f>Hypothèses!$E$46*S34</f>
        <v>236775.38779643615</v>
      </c>
      <c r="W34" s="12">
        <f>-Hypothèses!$E$42*S34</f>
        <v>-330020.52045539947</v>
      </c>
      <c r="X34" s="12">
        <f>-Hypothèses!$E$43*S34</f>
        <v>-411507.52721069369</v>
      </c>
      <c r="Y34" s="46">
        <f t="shared" si="5"/>
        <v>54250547.989685893</v>
      </c>
      <c r="AA34" s="46">
        <f>CHOOSE(Hypothèses!$B$12,I34,Q34,Y34)</f>
        <v>48290909.56446144</v>
      </c>
    </row>
    <row r="35" spans="1:27">
      <c r="A35" s="20">
        <v>28</v>
      </c>
      <c r="B35" s="9" t="s">
        <v>255</v>
      </c>
      <c r="C35" s="12">
        <f t="shared" si="0"/>
        <v>42782212.825107902</v>
      </c>
      <c r="D35" s="12">
        <f>Hypothèses!$C$38*(1+Hypothèses!$C$39)^$A35</f>
        <v>702599.81833333336</v>
      </c>
      <c r="E35" s="12">
        <f>Hypothèses!$C$45*C35</f>
        <v>701065.49415461393</v>
      </c>
      <c r="F35" s="12">
        <f>Hypothèses!$C$46*C35</f>
        <v>192258.61601287787</v>
      </c>
      <c r="G35" s="12">
        <f>-Hypothèses!$C$42*C35</f>
        <v>-343811.76227416145</v>
      </c>
      <c r="H35" s="12">
        <f>-Hypothèses!$C$43*C35</f>
        <v>-428704.03308303212</v>
      </c>
      <c r="I35" s="46">
        <f t="shared" si="1"/>
        <v>43605620.958251543</v>
      </c>
      <c r="K35" s="12">
        <f t="shared" si="2"/>
        <v>48290909.56446144</v>
      </c>
      <c r="L35" s="12">
        <f>Hypothèses!$D$38*(1+Hypothèses!$D$39)^$A35</f>
        <v>877588.58412239538</v>
      </c>
      <c r="M35" s="12">
        <f>Hypothèses!$D$45*K35</f>
        <v>858140.97355890961</v>
      </c>
      <c r="N35" s="12">
        <f>Hypothèses!$D$46*K35</f>
        <v>217014.10062215468</v>
      </c>
      <c r="O35" s="12">
        <f>-Hypothèses!$D$42*K35</f>
        <v>-344802.77228454029</v>
      </c>
      <c r="P35" s="12">
        <f>-Hypothèses!$D$43*K35</f>
        <v>-429939.738299936</v>
      </c>
      <c r="Q35" s="46">
        <f t="shared" si="3"/>
        <v>49468910.712180428</v>
      </c>
      <c r="S35" s="12">
        <f t="shared" si="4"/>
        <v>54250547.989685893</v>
      </c>
      <c r="T35" s="12">
        <f>Hypothèses!$E$38*(1+Hypothèses!$E$39)^$A35</f>
        <v>1075138.153427609</v>
      </c>
      <c r="U35" s="12">
        <f>Hypothèses!$E$45*S35</f>
        <v>1037989.3988211032</v>
      </c>
      <c r="V35" s="12">
        <f>Hypothèses!$E$46*S35</f>
        <v>243796.06817149057</v>
      </c>
      <c r="W35" s="12">
        <f>-Hypothèses!$E$42*S35</f>
        <v>-339806.03326941893</v>
      </c>
      <c r="X35" s="12">
        <f>-Hypothèses!$E$43*S35</f>
        <v>-423709.2296231045</v>
      </c>
      <c r="Y35" s="46">
        <f t="shared" si="5"/>
        <v>55843956.347213574</v>
      </c>
      <c r="AA35" s="46">
        <f>CHOOSE(Hypothèses!$B$12,I35,Q35,Y35)</f>
        <v>49468910.712180428</v>
      </c>
    </row>
    <row r="36" spans="1:27">
      <c r="A36" s="20">
        <v>29</v>
      </c>
      <c r="B36" s="9" t="s">
        <v>256</v>
      </c>
      <c r="C36" s="12">
        <f t="shared" si="0"/>
        <v>43605620.958251543</v>
      </c>
      <c r="D36" s="12">
        <f>Hypothèses!$C$38*(1+Hypothèses!$C$39)^$A36</f>
        <v>702599.81833333336</v>
      </c>
      <c r="E36" s="12">
        <f>Hypothèses!$C$45*C36</f>
        <v>714558.55567794142</v>
      </c>
      <c r="F36" s="12">
        <f>Hypothèses!$C$46*C36</f>
        <v>195958.92269731933</v>
      </c>
      <c r="G36" s="12">
        <f>-Hypothèses!$C$42*C36</f>
        <v>-350428.93755876587</v>
      </c>
      <c r="H36" s="12">
        <f>-Hypothèses!$C$43*C36</f>
        <v>-436955.08800146502</v>
      </c>
      <c r="I36" s="46">
        <f t="shared" si="1"/>
        <v>44431354.229399912</v>
      </c>
      <c r="K36" s="12">
        <f t="shared" si="2"/>
        <v>49468910.712180428</v>
      </c>
      <c r="L36" s="12">
        <f>Hypothèses!$D$38*(1+Hypothèses!$D$39)^$A36</f>
        <v>884586.5987309902</v>
      </c>
      <c r="M36" s="12">
        <f>Hypothèses!$D$45*K36</f>
        <v>879074.33474167401</v>
      </c>
      <c r="N36" s="12">
        <f>Hypothèses!$D$46*K36</f>
        <v>222307.90978644171</v>
      </c>
      <c r="O36" s="12">
        <f>-Hypothèses!$D$42*K36</f>
        <v>-353213.83898738812</v>
      </c>
      <c r="P36" s="12">
        <f>-Hypothèses!$D$43*K36</f>
        <v>-440427.62328150304</v>
      </c>
      <c r="Q36" s="46">
        <f t="shared" si="3"/>
        <v>50661238.093170643</v>
      </c>
      <c r="S36" s="12">
        <f t="shared" si="4"/>
        <v>55843956.347213574</v>
      </c>
      <c r="T36" s="12">
        <f>Hypothèses!$E$38*(1+Hypothèses!$E$39)^$A36</f>
        <v>1091597.9492706445</v>
      </c>
      <c r="U36" s="12">
        <f>Hypothèses!$E$45*S36</f>
        <v>1068476.4822588803</v>
      </c>
      <c r="V36" s="12">
        <f>Hypothèses!$E$46*S36</f>
        <v>250956.67220134655</v>
      </c>
      <c r="W36" s="12">
        <f>-Hypothèses!$E$42*S36</f>
        <v>-349786.57343746966</v>
      </c>
      <c r="X36" s="12">
        <f>-Hypothèses!$E$43*S36</f>
        <v>-436154.11456272629</v>
      </c>
      <c r="Y36" s="46">
        <f t="shared" si="5"/>
        <v>57469046.762944244</v>
      </c>
      <c r="AA36" s="46">
        <f>CHOOSE(Hypothèses!$B$12,I36,Q36,Y36)</f>
        <v>50661238.093170643</v>
      </c>
    </row>
    <row r="37" spans="1:27">
      <c r="A37" s="20">
        <v>30</v>
      </c>
      <c r="B37" s="9" t="s">
        <v>257</v>
      </c>
      <c r="C37" s="12">
        <f t="shared" si="0"/>
        <v>44431354.229399912</v>
      </c>
      <c r="D37" s="12">
        <f>Hypothèses!$C$38*(1+Hypothèses!$C$39)^$A37</f>
        <v>702599.81833333336</v>
      </c>
      <c r="E37" s="12">
        <f>Hypothèses!$C$45*C37</f>
        <v>728089.71887756442</v>
      </c>
      <c r="F37" s="12">
        <f>Hypothèses!$C$46*C37</f>
        <v>199669.67829932043</v>
      </c>
      <c r="G37" s="12">
        <f>-Hypothèses!$C$42*C37</f>
        <v>-357064.79840781755</v>
      </c>
      <c r="H37" s="12">
        <f>-Hypothèses!$C$43*C37</f>
        <v>-445229.44222992135</v>
      </c>
      <c r="I37" s="46">
        <f t="shared" si="1"/>
        <v>45259419.204272397</v>
      </c>
      <c r="K37" s="12">
        <f t="shared" si="2"/>
        <v>50661238.093170643</v>
      </c>
      <c r="L37" s="12">
        <f>Hypothèses!$D$38*(1+Hypothèses!$D$39)^$A37</f>
        <v>891640.4164907973</v>
      </c>
      <c r="M37" s="12">
        <f>Hypothèses!$D$45*K37</f>
        <v>900262.27650446247</v>
      </c>
      <c r="N37" s="12">
        <f>Hypothèses!$D$46*K37</f>
        <v>227666.09948645896</v>
      </c>
      <c r="O37" s="12">
        <f>-Hypothèses!$D$42*K37</f>
        <v>-361727.19668025593</v>
      </c>
      <c r="P37" s="12">
        <f>-Hypothèses!$D$43*K37</f>
        <v>-451043.05642977485</v>
      </c>
      <c r="Q37" s="46">
        <f t="shared" si="3"/>
        <v>51868036.632542334</v>
      </c>
      <c r="S37" s="12">
        <f t="shared" si="4"/>
        <v>57469046.762944244</v>
      </c>
      <c r="T37" s="12">
        <f>Hypothèses!$E$38*(1+Hypothèses!$E$39)^$A37</f>
        <v>1108309.7358725704</v>
      </c>
      <c r="U37" s="12">
        <f>Hypothèses!$E$45*S37</f>
        <v>1099569.7464960436</v>
      </c>
      <c r="V37" s="12">
        <f>Hypothèses!$E$46*S37</f>
        <v>258259.65195841066</v>
      </c>
      <c r="W37" s="12">
        <f>-Hypothèses!$E$42*S37</f>
        <v>-359965.55868898408</v>
      </c>
      <c r="X37" s="12">
        <f>-Hypothèses!$E$43*S37</f>
        <v>-448846.44364755036</v>
      </c>
      <c r="Y37" s="46">
        <f t="shared" si="5"/>
        <v>59126373.894934744</v>
      </c>
      <c r="AA37" s="46">
        <f>CHOOSE(Hypothèses!$B$12,I37,Q37,Y37)</f>
        <v>51868036.632542334</v>
      </c>
    </row>
    <row r="38" spans="1:27">
      <c r="A38" s="20">
        <v>31</v>
      </c>
      <c r="B38" s="9" t="s">
        <v>258</v>
      </c>
      <c r="C38" s="12">
        <f t="shared" si="0"/>
        <v>45259419.204272397</v>
      </c>
      <c r="D38" s="12">
        <f>Hypothèses!$C$38*(1+Hypothèses!$C$39)^$A38</f>
        <v>702599.81833333336</v>
      </c>
      <c r="E38" s="12">
        <f>Hypothèses!$C$45*C38</f>
        <v>741659.09134490928</v>
      </c>
      <c r="F38" s="12">
        <f>Hypothèses!$C$46*C38</f>
        <v>203390.91232451066</v>
      </c>
      <c r="G38" s="12">
        <f>-Hypothèses!$C$42*C38</f>
        <v>-363719.39758557058</v>
      </c>
      <c r="H38" s="12">
        <f>-Hypothèses!$C$43*C38</f>
        <v>-453527.16156093957</v>
      </c>
      <c r="I38" s="46">
        <f t="shared" si="1"/>
        <v>46089822.467128642</v>
      </c>
      <c r="K38" s="12">
        <f t="shared" si="2"/>
        <v>51868036.632542334</v>
      </c>
      <c r="L38" s="12">
        <f>Hypothèses!$D$38*(1+Hypothèses!$D$39)^$A38</f>
        <v>898750.48238398111</v>
      </c>
      <c r="M38" s="12">
        <f>Hypothèses!$D$45*K38</f>
        <v>921707.37420102814</v>
      </c>
      <c r="N38" s="12">
        <f>Hypothèses!$D$46*K38</f>
        <v>233089.32099990526</v>
      </c>
      <c r="O38" s="12">
        <f>-Hypothèses!$D$42*K38</f>
        <v>-370343.88014547102</v>
      </c>
      <c r="P38" s="12">
        <f>-Hypothèses!$D$43*K38</f>
        <v>-461787.32803032565</v>
      </c>
      <c r="Q38" s="46">
        <f t="shared" si="3"/>
        <v>53089452.601951458</v>
      </c>
      <c r="S38" s="12">
        <f t="shared" si="4"/>
        <v>59126373.894934744</v>
      </c>
      <c r="T38" s="12">
        <f>Hypothèses!$E$38*(1+Hypothèses!$E$39)^$A38</f>
        <v>1125277.3710784763</v>
      </c>
      <c r="U38" s="12">
        <f>Hypothèses!$E$45*S38</f>
        <v>1131279.8039448969</v>
      </c>
      <c r="V38" s="12">
        <f>Hypothèses!$E$46*S38</f>
        <v>265707.50001572492</v>
      </c>
      <c r="W38" s="12">
        <f>-Hypothèses!$E$42*S38</f>
        <v>-370346.46320369135</v>
      </c>
      <c r="X38" s="12">
        <f>-Hypothèses!$E$43*S38</f>
        <v>-461790.54888428771</v>
      </c>
      <c r="Y38" s="46">
        <f t="shared" si="5"/>
        <v>60816501.55788587</v>
      </c>
      <c r="AA38" s="46">
        <f>CHOOSE(Hypothèses!$B$12,I38,Q38,Y38)</f>
        <v>53089452.601951458</v>
      </c>
    </row>
    <row r="39" spans="1:27">
      <c r="A39" s="20">
        <v>32</v>
      </c>
      <c r="B39" s="9" t="s">
        <v>259</v>
      </c>
      <c r="C39" s="12">
        <f t="shared" si="0"/>
        <v>46089822.467128642</v>
      </c>
      <c r="D39" s="12">
        <f>Hypothèses!$C$38*(1+Hypothèses!$C$39)^$A39</f>
        <v>702599.81833333336</v>
      </c>
      <c r="E39" s="12">
        <f>Hypothèses!$C$45*C39</f>
        <v>755266.78097521875</v>
      </c>
      <c r="F39" s="12">
        <f>Hypothèses!$C$46*C39</f>
        <v>207122.65436183754</v>
      </c>
      <c r="G39" s="12">
        <f>-Hypothèses!$C$42*C39</f>
        <v>-370392.78800527472</v>
      </c>
      <c r="H39" s="12">
        <f>-Hypothèses!$C$43*C39</f>
        <v>-461848.3119728429</v>
      </c>
      <c r="I39" s="46">
        <f t="shared" si="1"/>
        <v>46922570.62082091</v>
      </c>
      <c r="K39" s="12">
        <f t="shared" si="2"/>
        <v>53089452.601951458</v>
      </c>
      <c r="L39" s="12">
        <f>Hypothèses!$D$38*(1+Hypothèses!$D$39)^$A39</f>
        <v>905917.24494105624</v>
      </c>
      <c r="M39" s="12">
        <f>Hypothèses!$D$45*K39</f>
        <v>943412.22711356264</v>
      </c>
      <c r="N39" s="12">
        <f>Hypothèses!$D$46*K39</f>
        <v>238578.23165570965</v>
      </c>
      <c r="O39" s="12">
        <f>-Hypothèses!$D$42*K39</f>
        <v>-379064.93377985543</v>
      </c>
      <c r="P39" s="12">
        <f>-Hypothèses!$D$43*K39</f>
        <v>-472661.74035718688</v>
      </c>
      <c r="Q39" s="46">
        <f t="shared" si="3"/>
        <v>54325633.631524734</v>
      </c>
      <c r="S39" s="12">
        <f t="shared" si="4"/>
        <v>60816501.55788587</v>
      </c>
      <c r="T39" s="12">
        <f>Hypothèses!$E$38*(1+Hypothèses!$E$39)^$A39</f>
        <v>1142504.7717950174</v>
      </c>
      <c r="U39" s="12">
        <f>Hypothèses!$E$45*S39</f>
        <v>1163617.4422141195</v>
      </c>
      <c r="V39" s="12">
        <f>Hypothèses!$E$46*S39</f>
        <v>273302.7500952945</v>
      </c>
      <c r="W39" s="12">
        <f>-Hypothèses!$E$42*S39</f>
        <v>-380932.81851526396</v>
      </c>
      <c r="X39" s="12">
        <f>-Hypothèses!$E$43*S39</f>
        <v>-474990.83379513997</v>
      </c>
      <c r="Y39" s="46">
        <f t="shared" si="5"/>
        <v>62540002.869679898</v>
      </c>
      <c r="AA39" s="46">
        <f>CHOOSE(Hypothèses!$B$12,I39,Q39,Y39)</f>
        <v>54325633.631524734</v>
      </c>
    </row>
    <row r="40" spans="1:27">
      <c r="A40" s="20">
        <v>33</v>
      </c>
      <c r="B40" s="9" t="s">
        <v>260</v>
      </c>
      <c r="C40" s="12">
        <f t="shared" si="0"/>
        <v>46922570.62082091</v>
      </c>
      <c r="D40" s="12">
        <f>Hypothèses!$C$38*(1+Hypothèses!$C$39)^$A40</f>
        <v>702599.81833333336</v>
      </c>
      <c r="E40" s="12">
        <f>Hypothèses!$C$45*C40</f>
        <v>768912.89596841019</v>
      </c>
      <c r="F40" s="12">
        <f>Hypothèses!$C$46*C40</f>
        <v>210864.93408380167</v>
      </c>
      <c r="G40" s="12">
        <f>-Hypothèses!$C$42*C40</f>
        <v>-377085.02272959606</v>
      </c>
      <c r="H40" s="12">
        <f>-Hypothèses!$C$43*C40</f>
        <v>-470192.95963026391</v>
      </c>
      <c r="I40" s="46">
        <f t="shared" si="1"/>
        <v>47757670.286846593</v>
      </c>
      <c r="K40" s="12">
        <f t="shared" si="2"/>
        <v>54325633.631524734</v>
      </c>
      <c r="L40" s="12">
        <f>Hypothèses!$D$38*(1+Hypothèses!$D$39)^$A40</f>
        <v>913141.15626918187</v>
      </c>
      <c r="M40" s="12">
        <f>Hypothèses!$D$45*K40</f>
        <v>965379.45866460702</v>
      </c>
      <c r="N40" s="12">
        <f>Hypothèses!$D$46*K40</f>
        <v>244133.49488762108</v>
      </c>
      <c r="O40" s="12">
        <f>-Hypothèses!$D$42*K40</f>
        <v>-387891.41167987208</v>
      </c>
      <c r="P40" s="12">
        <f>-Hypothèses!$D$43*K40</f>
        <v>-483667.60777901759</v>
      </c>
      <c r="Q40" s="46">
        <f t="shared" si="3"/>
        <v>55576728.721887253</v>
      </c>
      <c r="S40" s="12">
        <f t="shared" si="4"/>
        <v>62540002.869679898</v>
      </c>
      <c r="T40" s="12">
        <f>Hypothèses!$E$38*(1+Hypothèses!$E$39)^$A40</f>
        <v>1159995.9148946153</v>
      </c>
      <c r="U40" s="12">
        <f>Hypothèses!$E$45*S40</f>
        <v>1196593.6269125042</v>
      </c>
      <c r="V40" s="12">
        <f>Hypothèses!$E$46*S40</f>
        <v>281047.97772661125</v>
      </c>
      <c r="W40" s="12">
        <f>-Hypothèses!$E$42*S40</f>
        <v>-391728.21442917647</v>
      </c>
      <c r="X40" s="12">
        <f>-Hypothèses!$E$43*S40</f>
        <v>-488451.77456229122</v>
      </c>
      <c r="Y40" s="46">
        <f t="shared" si="5"/>
        <v>64297460.40022216</v>
      </c>
      <c r="AA40" s="46">
        <f>CHOOSE(Hypothèses!$B$12,I40,Q40,Y40)</f>
        <v>55576728.721887253</v>
      </c>
    </row>
    <row r="41" spans="1:27">
      <c r="A41" s="20">
        <v>34</v>
      </c>
      <c r="B41" s="9" t="s">
        <v>261</v>
      </c>
      <c r="C41" s="12">
        <f t="shared" si="0"/>
        <v>47757670.286846593</v>
      </c>
      <c r="D41" s="12">
        <f>Hypothèses!$C$38*(1+Hypothèses!$C$39)^$A41</f>
        <v>702599.81833333336</v>
      </c>
      <c r="E41" s="12">
        <f>Hypothèses!$C$45*C41</f>
        <v>782597.54482993565</v>
      </c>
      <c r="F41" s="12">
        <f>Hypothèses!$C$46*C41</f>
        <v>214617.78124669287</v>
      </c>
      <c r="G41" s="12">
        <f>-Hypothèses!$C$42*C41</f>
        <v>-383796.15497103898</v>
      </c>
      <c r="H41" s="12">
        <f>-Hypothèses!$C$43*C41</f>
        <v>-478561.17088467092</v>
      </c>
      <c r="I41" s="46">
        <f t="shared" si="1"/>
        <v>48595128.105400845</v>
      </c>
      <c r="K41" s="12">
        <f t="shared" si="2"/>
        <v>55576728.721887253</v>
      </c>
      <c r="L41" s="12">
        <f>Hypothèses!$D$38*(1+Hypothèses!$D$39)^$A41</f>
        <v>920422.67208068387</v>
      </c>
      <c r="M41" s="12">
        <f>Hypothèses!$D$45*K41</f>
        <v>987611.71663078468</v>
      </c>
      <c r="N41" s="12">
        <f>Hypothèses!$D$46*K41</f>
        <v>249755.78028825938</v>
      </c>
      <c r="O41" s="12">
        <f>-Hypothèses!$D$42*K41</f>
        <v>-396824.37772750354</v>
      </c>
      <c r="P41" s="12">
        <f>-Hypothèses!$D$43*K41</f>
        <v>-494806.25686618761</v>
      </c>
      <c r="Q41" s="46">
        <f t="shared" si="3"/>
        <v>56842888.256293289</v>
      </c>
      <c r="S41" s="12">
        <f t="shared" si="4"/>
        <v>64297460.40022216</v>
      </c>
      <c r="T41" s="12">
        <f>Hypothèses!$E$38*(1+Hypothèses!$E$39)^$A41</f>
        <v>1177754.8381335032</v>
      </c>
      <c r="U41" s="12">
        <f>Hypothèses!$E$45*S41</f>
        <v>1230219.5044967823</v>
      </c>
      <c r="V41" s="12">
        <f>Hypothèses!$E$46*S41</f>
        <v>288945.80091553164</v>
      </c>
      <c r="W41" s="12">
        <f>-Hypothèses!$E$42*S41</f>
        <v>-402736.29995499592</v>
      </c>
      <c r="X41" s="12">
        <f>-Hypothèses!$E$43*S41</f>
        <v>-502177.92119039455</v>
      </c>
      <c r="Y41" s="46">
        <f t="shared" si="5"/>
        <v>66089466.32262259</v>
      </c>
      <c r="AA41" s="46">
        <f>CHOOSE(Hypothèses!$B$12,I41,Q41,Y41)</f>
        <v>56842888.256293289</v>
      </c>
    </row>
    <row r="42" spans="1:27">
      <c r="A42" s="20">
        <v>35</v>
      </c>
      <c r="B42" s="9" t="s">
        <v>262</v>
      </c>
      <c r="C42" s="12">
        <f t="shared" si="0"/>
        <v>48595128.105400845</v>
      </c>
      <c r="D42" s="12">
        <f>Hypothèses!$C$38*(1+Hypothèses!$C$39)^$A42</f>
        <v>702599.81833333336</v>
      </c>
      <c r="E42" s="12">
        <f>Hypothèses!$C$45*C42</f>
        <v>796320.83637164428</v>
      </c>
      <c r="F42" s="12">
        <f>Hypothèses!$C$46*C42</f>
        <v>218381.22569082672</v>
      </c>
      <c r="G42" s="12">
        <f>-Hypothèses!$C$42*C42</f>
        <v>-390526.23809236911</v>
      </c>
      <c r="H42" s="12">
        <f>-Hypothèses!$C$43*C42</f>
        <v>-486953.01227489521</v>
      </c>
      <c r="I42" s="46">
        <f t="shared" si="1"/>
        <v>49434950.735429384</v>
      </c>
      <c r="K42" s="12">
        <f t="shared" si="2"/>
        <v>56842888.256293289</v>
      </c>
      <c r="L42" s="12">
        <f>Hypothèses!$D$38*(1+Hypothèses!$D$39)^$A42</f>
        <v>927762.25172180193</v>
      </c>
      <c r="M42" s="12">
        <f>Hypothèses!$D$45*K42</f>
        <v>1010111.6733583695</v>
      </c>
      <c r="N42" s="12">
        <f>Hypothèses!$D$46*K42</f>
        <v>255445.76366362959</v>
      </c>
      <c r="O42" s="12">
        <f>-Hypothèses!$D$42*K42</f>
        <v>-405864.90567686711</v>
      </c>
      <c r="P42" s="12">
        <f>-Hypothèses!$D$43*K42</f>
        <v>-506079.02649877942</v>
      </c>
      <c r="Q42" s="46">
        <f t="shared" si="3"/>
        <v>58124264.012861438</v>
      </c>
      <c r="S42" s="12">
        <f t="shared" si="4"/>
        <v>66089466.32262259</v>
      </c>
      <c r="T42" s="12">
        <f>Hypothèses!$E$38*(1+Hypothèses!$E$39)^$A42</f>
        <v>1195785.6410838235</v>
      </c>
      <c r="U42" s="12">
        <f>Hypothèses!$E$45*S42</f>
        <v>1264506.4051642173</v>
      </c>
      <c r="V42" s="12">
        <f>Hypothèses!$E$46*S42</f>
        <v>296998.8808236703</v>
      </c>
      <c r="W42" s="12">
        <f>-Hypothèses!$E$42*S42</f>
        <v>-413960.78425332904</v>
      </c>
      <c r="X42" s="12">
        <f>-Hypothèses!$E$43*S42</f>
        <v>-516173.89868733496</v>
      </c>
      <c r="Y42" s="46">
        <f t="shared" si="5"/>
        <v>67916622.566753641</v>
      </c>
      <c r="AA42" s="46">
        <f>CHOOSE(Hypothèses!$B$12,I42,Q42,Y42)</f>
        <v>58124264.012861438</v>
      </c>
    </row>
    <row r="43" spans="1:27">
      <c r="A43" s="50">
        <v>36</v>
      </c>
      <c r="B43" s="51" t="s">
        <v>263</v>
      </c>
      <c r="C43" s="52">
        <f t="shared" si="0"/>
        <v>49434950.735429384</v>
      </c>
      <c r="D43" s="52">
        <f>Hypothèses!$C$38*(1+Hypothèses!$C$39)^$A43</f>
        <v>702599.81833333336</v>
      </c>
      <c r="E43" s="52">
        <f>Hypothèses!$C$45*C43</f>
        <v>810082.87971264811</v>
      </c>
      <c r="F43" s="52">
        <f>Hypothèses!$C$46*C43</f>
        <v>222155.29734078175</v>
      </c>
      <c r="G43" s="52">
        <f>-Hypothèses!$C$42*C43</f>
        <v>-397275.32560703775</v>
      </c>
      <c r="H43" s="52">
        <f>-Hypothèses!$C$43*C43</f>
        <v>-495368.55052766029</v>
      </c>
      <c r="I43" s="53">
        <f t="shared" si="1"/>
        <v>50277144.854681447</v>
      </c>
      <c r="J43" s="60"/>
      <c r="K43" s="52">
        <f t="shared" si="2"/>
        <v>58124264.012861438</v>
      </c>
      <c r="L43" s="52">
        <f>Hypothèses!$D$38*(1+Hypothèses!$D$39)^$A43</f>
        <v>935160.35820166767</v>
      </c>
      <c r="M43" s="52">
        <f>Hypothèses!$D$45*K43</f>
        <v>1032882.0259807066</v>
      </c>
      <c r="N43" s="52">
        <f>Hypothèses!$D$46*K43</f>
        <v>261204.12708810554</v>
      </c>
      <c r="O43" s="52">
        <f>-Hypothèses!$D$42*K43</f>
        <v>-415014.07924157562</v>
      </c>
      <c r="P43" s="52">
        <f>-Hypothèses!$D$43*K43</f>
        <v>-517487.26797551947</v>
      </c>
      <c r="Q43" s="53">
        <f t="shared" si="3"/>
        <v>59421009.176914826</v>
      </c>
      <c r="R43" s="60"/>
      <c r="S43" s="52">
        <f t="shared" si="4"/>
        <v>67916622.566753641</v>
      </c>
      <c r="T43" s="52">
        <f>Hypothèses!$E$38*(1+Hypothèses!$E$39)^$A43</f>
        <v>1214092.4860799985</v>
      </c>
      <c r="U43" s="52">
        <f>Hypothèses!$E$45*S43</f>
        <v>1299465.8457906677</v>
      </c>
      <c r="V43" s="52">
        <f>Hypothèses!$E$46*S43</f>
        <v>305209.92245847237</v>
      </c>
      <c r="W43" s="52">
        <f>-Hypothèses!$E$42*S43</f>
        <v>-425405.437597654</v>
      </c>
      <c r="X43" s="52">
        <f>-Hypothèses!$E$43*S43</f>
        <v>-530444.40826355154</v>
      </c>
      <c r="Y43" s="53">
        <f t="shared" si="5"/>
        <v>69779540.975221589</v>
      </c>
      <c r="Z43" s="60"/>
      <c r="AA43" s="53">
        <f>CHOOSE(Hypothèses!$B$12,I43,Q43,Y43)</f>
        <v>59421009.176914826</v>
      </c>
    </row>
  </sheetData>
  <mergeCells count="3">
    <mergeCell ref="C5:I5"/>
    <mergeCell ref="K5:Q5"/>
    <mergeCell ref="S5:Y5"/>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B7C81"/>
  </sheetPr>
  <dimension ref="A1:AR44"/>
  <sheetViews>
    <sheetView showGridLines="0" zoomScaleNormal="100" workbookViewId="0">
      <pane ySplit="5" topLeftCell="A6" activePane="bottomLeft" state="frozen"/>
      <selection pane="bottomLeft" activeCell="L30" sqref="L30"/>
    </sheetView>
  </sheetViews>
  <sheetFormatPr baseColWidth="10" defaultColWidth="8.6640625" defaultRowHeight="14.25"/>
  <cols>
    <col min="1" max="1" width="11" customWidth="1"/>
    <col min="2" max="2" width="15" customWidth="1"/>
    <col min="3" max="3" width="3" customWidth="1"/>
    <col min="4" max="4" width="11" customWidth="1"/>
    <col min="5" max="13" width="14" customWidth="1"/>
    <col min="14" max="14" width="3" customWidth="1"/>
    <col min="15" max="15" width="11" customWidth="1"/>
    <col min="16" max="20" width="15" customWidth="1"/>
    <col min="21" max="21" width="3" customWidth="1"/>
    <col min="22" max="22" width="11" customWidth="1"/>
    <col min="23" max="35" width="13" customWidth="1"/>
    <col min="36" max="36" width="3" customWidth="1"/>
    <col min="37" max="37" width="11" customWidth="1"/>
    <col min="38" max="44" width="14" customWidth="1"/>
  </cols>
  <sheetData>
    <row r="1" spans="1:44">
      <c r="A1" s="5" t="s">
        <v>324</v>
      </c>
    </row>
    <row r="2" spans="1:44" ht="25.5" customHeight="1">
      <c r="A2" s="6" t="s">
        <v>325</v>
      </c>
    </row>
    <row r="3" spans="1:44" ht="52.5">
      <c r="A3" s="7" t="s">
        <v>326</v>
      </c>
      <c r="O3" s="66" t="s">
        <v>327</v>
      </c>
      <c r="V3" s="25" t="s">
        <v>328</v>
      </c>
      <c r="AK3" s="25" t="s">
        <v>329</v>
      </c>
    </row>
    <row r="4" spans="1:44">
      <c r="V4" s="61" t="s">
        <v>330</v>
      </c>
      <c r="W4" s="62" t="s">
        <v>274</v>
      </c>
      <c r="X4" s="62" t="s">
        <v>275</v>
      </c>
      <c r="Y4" s="62" t="s">
        <v>276</v>
      </c>
      <c r="Z4" s="62" t="s">
        <v>277</v>
      </c>
      <c r="AA4" s="62" t="s">
        <v>331</v>
      </c>
      <c r="AB4" s="62" t="s">
        <v>331</v>
      </c>
      <c r="AC4" s="62" t="s">
        <v>331</v>
      </c>
      <c r="AD4" s="62" t="s">
        <v>331</v>
      </c>
      <c r="AE4" s="62" t="s">
        <v>332</v>
      </c>
      <c r="AF4" s="62" t="s">
        <v>332</v>
      </c>
      <c r="AG4" s="62" t="s">
        <v>332</v>
      </c>
    </row>
    <row r="5" spans="1:44" ht="30" customHeight="1">
      <c r="A5" s="33" t="s">
        <v>223</v>
      </c>
      <c r="B5" s="33" t="s">
        <v>333</v>
      </c>
      <c r="D5" s="33" t="s">
        <v>223</v>
      </c>
      <c r="E5" s="33" t="s">
        <v>322</v>
      </c>
      <c r="F5" s="33" t="s">
        <v>48</v>
      </c>
      <c r="G5" s="33" t="s">
        <v>50</v>
      </c>
      <c r="H5" s="33" t="s">
        <v>51</v>
      </c>
      <c r="I5" s="33" t="s">
        <v>52</v>
      </c>
      <c r="J5" s="33" t="s">
        <v>334</v>
      </c>
      <c r="K5" s="33" t="s">
        <v>335</v>
      </c>
      <c r="L5" s="33" t="s">
        <v>336</v>
      </c>
      <c r="M5" s="33" t="s">
        <v>295</v>
      </c>
      <c r="O5" s="33" t="s">
        <v>223</v>
      </c>
      <c r="P5" s="33" t="s">
        <v>184</v>
      </c>
      <c r="Q5" s="33" t="s">
        <v>185</v>
      </c>
      <c r="R5" s="33" t="s">
        <v>186</v>
      </c>
      <c r="S5" s="33" t="s">
        <v>265</v>
      </c>
      <c r="T5" s="33" t="s">
        <v>337</v>
      </c>
      <c r="V5" s="33" t="s">
        <v>223</v>
      </c>
      <c r="W5" s="33" t="s">
        <v>274</v>
      </c>
      <c r="X5" s="33" t="s">
        <v>338</v>
      </c>
      <c r="Y5" s="33" t="s">
        <v>339</v>
      </c>
      <c r="Z5" s="33" t="s">
        <v>340</v>
      </c>
      <c r="AA5" s="33" t="s">
        <v>341</v>
      </c>
      <c r="AB5" s="33" t="s">
        <v>342</v>
      </c>
      <c r="AC5" s="33" t="s">
        <v>343</v>
      </c>
      <c r="AD5" s="33" t="s">
        <v>344</v>
      </c>
      <c r="AE5" s="33" t="s">
        <v>345</v>
      </c>
      <c r="AF5" s="33" t="s">
        <v>346</v>
      </c>
      <c r="AG5" s="33" t="s">
        <v>347</v>
      </c>
      <c r="AH5" s="33" t="s">
        <v>265</v>
      </c>
      <c r="AI5" s="33" t="s">
        <v>337</v>
      </c>
      <c r="AK5" s="33" t="s">
        <v>223</v>
      </c>
      <c r="AL5" s="33" t="s">
        <v>281</v>
      </c>
      <c r="AM5" s="33" t="s">
        <v>282</v>
      </c>
      <c r="AN5" s="33" t="s">
        <v>283</v>
      </c>
      <c r="AO5" s="33" t="s">
        <v>284</v>
      </c>
      <c r="AP5" s="33" t="s">
        <v>285</v>
      </c>
      <c r="AQ5" s="33" t="s">
        <v>265</v>
      </c>
      <c r="AR5" s="33" t="s">
        <v>337</v>
      </c>
    </row>
    <row r="6" spans="1:44">
      <c r="A6" s="9" t="s">
        <v>348</v>
      </c>
      <c r="B6" s="11">
        <v>113930.65</v>
      </c>
      <c r="D6" s="9" t="s">
        <v>349</v>
      </c>
      <c r="E6" s="11">
        <v>626654.06000000006</v>
      </c>
      <c r="F6" s="11">
        <v>28816.5</v>
      </c>
      <c r="G6" s="11">
        <v>0</v>
      </c>
      <c r="H6" s="11">
        <v>0</v>
      </c>
      <c r="I6" s="11">
        <v>-20640</v>
      </c>
      <c r="J6" s="11">
        <v>205.39</v>
      </c>
      <c r="K6" s="12">
        <f t="shared" ref="K6:K31" si="0">SUM(E6:J6)</f>
        <v>635035.95000000007</v>
      </c>
      <c r="L6" s="12">
        <f t="shared" ref="L6:L31" si="1">B17-B16</f>
        <v>635035.93999999994</v>
      </c>
      <c r="M6" s="57">
        <f t="shared" ref="M6:M31" si="2">K6-L6</f>
        <v>1.0000000125728548E-2</v>
      </c>
      <c r="O6" s="9" t="s">
        <v>350</v>
      </c>
      <c r="P6" s="11">
        <v>2193070.94</v>
      </c>
      <c r="Q6" s="11">
        <v>3299598.78</v>
      </c>
      <c r="R6" s="11">
        <v>5788562.1500000004</v>
      </c>
      <c r="S6" s="12">
        <f t="shared" ref="S6:S20" si="3">SUM(P6:R6)</f>
        <v>11281231.870000001</v>
      </c>
      <c r="T6" s="57">
        <f t="shared" ref="T6:T20" si="4">S6-B28</f>
        <v>1.0000001639127731E-2</v>
      </c>
      <c r="V6" s="9" t="s">
        <v>350</v>
      </c>
      <c r="W6" s="11">
        <v>2036151.7</v>
      </c>
      <c r="X6" s="11">
        <v>2551484.12</v>
      </c>
      <c r="Y6" s="11">
        <v>2327254.36</v>
      </c>
      <c r="Z6" s="11">
        <v>1151518.52</v>
      </c>
      <c r="AA6" s="11">
        <v>694176.8</v>
      </c>
      <c r="AB6" s="11">
        <v>589292.35</v>
      </c>
      <c r="AC6" s="11">
        <v>254563</v>
      </c>
      <c r="AD6" s="11">
        <v>177113</v>
      </c>
      <c r="AE6" s="11">
        <v>697950.15</v>
      </c>
      <c r="AF6" s="11">
        <v>349944.65</v>
      </c>
      <c r="AG6" s="11">
        <v>451783.22</v>
      </c>
      <c r="AH6" s="12">
        <f t="shared" ref="AH6:AH20" si="5">SUM(W6:AG6)</f>
        <v>11281231.870000001</v>
      </c>
      <c r="AI6" s="57">
        <f t="shared" ref="AI6:AI20" si="6">AH6-B28</f>
        <v>1.0000001639127731E-2</v>
      </c>
      <c r="AK6" s="9" t="s">
        <v>350</v>
      </c>
      <c r="AL6" s="11">
        <v>1808670.13</v>
      </c>
      <c r="AM6" s="11">
        <v>1462822.25</v>
      </c>
      <c r="AN6" s="11">
        <v>2744076.87</v>
      </c>
      <c r="AO6" s="11">
        <v>2419691.66</v>
      </c>
      <c r="AP6" s="11">
        <v>2845970.95</v>
      </c>
      <c r="AQ6" s="12">
        <f t="shared" ref="AQ6:AQ20" si="7">SUM(AL6:AP6)</f>
        <v>11281231.859999999</v>
      </c>
      <c r="AR6" s="57">
        <f t="shared" ref="AR6:AR20" si="8">AQ6-B28</f>
        <v>0</v>
      </c>
    </row>
    <row r="7" spans="1:44">
      <c r="A7" s="9" t="s">
        <v>351</v>
      </c>
      <c r="B7" s="11">
        <v>224326.76</v>
      </c>
      <c r="D7" s="9" t="s">
        <v>352</v>
      </c>
      <c r="E7" s="11">
        <v>763908.06</v>
      </c>
      <c r="F7" s="11">
        <v>88059.839999999997</v>
      </c>
      <c r="G7" s="11">
        <v>20976</v>
      </c>
      <c r="H7" s="11">
        <v>-16320</v>
      </c>
      <c r="I7" s="11">
        <v>-29316.1</v>
      </c>
      <c r="J7" s="11">
        <v>-4994.03</v>
      </c>
      <c r="K7" s="12">
        <f t="shared" si="0"/>
        <v>822313.77</v>
      </c>
      <c r="L7" s="12">
        <f t="shared" si="1"/>
        <v>822313.7799999998</v>
      </c>
      <c r="M7" s="57">
        <f t="shared" si="2"/>
        <v>-9.9999997764825821E-3</v>
      </c>
      <c r="O7" s="9" t="s">
        <v>353</v>
      </c>
      <c r="P7" s="11">
        <v>2340529.38</v>
      </c>
      <c r="Q7" s="11">
        <v>3570754.62</v>
      </c>
      <c r="R7" s="11">
        <v>6129934.0199999996</v>
      </c>
      <c r="S7" s="12">
        <f t="shared" si="3"/>
        <v>12041218.02</v>
      </c>
      <c r="T7" s="57">
        <f t="shared" si="4"/>
        <v>0</v>
      </c>
      <c r="V7" s="9" t="s">
        <v>353</v>
      </c>
      <c r="W7" s="11">
        <v>2130596.7000000002</v>
      </c>
      <c r="X7" s="11">
        <v>2709722.18</v>
      </c>
      <c r="Y7" s="11">
        <v>2499183.77</v>
      </c>
      <c r="Z7" s="11">
        <v>1197267.08</v>
      </c>
      <c r="AA7" s="11">
        <v>787804.12</v>
      </c>
      <c r="AB7" s="11">
        <v>641877.35</v>
      </c>
      <c r="AC7" s="11">
        <v>281758</v>
      </c>
      <c r="AD7" s="11">
        <v>200337</v>
      </c>
      <c r="AE7" s="11">
        <v>729656.87</v>
      </c>
      <c r="AF7" s="11">
        <v>357562.54</v>
      </c>
      <c r="AG7" s="11">
        <v>505452.41</v>
      </c>
      <c r="AH7" s="12">
        <f t="shared" si="5"/>
        <v>12041218.019999998</v>
      </c>
      <c r="AI7" s="57">
        <f t="shared" si="6"/>
        <v>0</v>
      </c>
      <c r="AK7" s="9" t="s">
        <v>353</v>
      </c>
      <c r="AL7" s="11">
        <v>1871246.53</v>
      </c>
      <c r="AM7" s="11">
        <v>1568694.65</v>
      </c>
      <c r="AN7" s="11">
        <v>2933192.86</v>
      </c>
      <c r="AO7" s="11">
        <v>2654833.81</v>
      </c>
      <c r="AP7" s="11">
        <v>3013250.16</v>
      </c>
      <c r="AQ7" s="12">
        <f t="shared" si="7"/>
        <v>12041218.01</v>
      </c>
      <c r="AR7" s="57">
        <f t="shared" si="8"/>
        <v>-9.9999997764825821E-3</v>
      </c>
    </row>
    <row r="8" spans="1:44">
      <c r="A8" s="9" t="s">
        <v>354</v>
      </c>
      <c r="B8" s="11">
        <v>479443.63</v>
      </c>
      <c r="D8" s="9" t="s">
        <v>355</v>
      </c>
      <c r="E8" s="11">
        <v>502984.11</v>
      </c>
      <c r="F8" s="11">
        <v>63120.98</v>
      </c>
      <c r="G8" s="11">
        <v>15345.6</v>
      </c>
      <c r="H8" s="11">
        <v>-12344</v>
      </c>
      <c r="I8" s="11">
        <v>-20656</v>
      </c>
      <c r="J8" s="11">
        <v>1007.29</v>
      </c>
      <c r="K8" s="12">
        <f t="shared" si="0"/>
        <v>549457.98</v>
      </c>
      <c r="L8" s="12">
        <f t="shared" si="1"/>
        <v>549457.98000000045</v>
      </c>
      <c r="M8" s="57">
        <f t="shared" si="2"/>
        <v>0</v>
      </c>
      <c r="O8" s="9" t="s">
        <v>356</v>
      </c>
      <c r="P8" s="11">
        <v>2490328.7599999998</v>
      </c>
      <c r="Q8" s="11">
        <v>3711269.59</v>
      </c>
      <c r="R8" s="11">
        <v>6588799.7800000003</v>
      </c>
      <c r="S8" s="12">
        <f t="shared" si="3"/>
        <v>12790398.129999999</v>
      </c>
      <c r="T8" s="57">
        <f t="shared" si="4"/>
        <v>0</v>
      </c>
      <c r="V8" s="9" t="s">
        <v>356</v>
      </c>
      <c r="W8" s="11">
        <v>2350635.27</v>
      </c>
      <c r="X8" s="11">
        <v>2836390.27</v>
      </c>
      <c r="Y8" s="11">
        <v>2592765.62</v>
      </c>
      <c r="Z8" s="11">
        <v>1310755.97</v>
      </c>
      <c r="AA8" s="11">
        <v>832522.47</v>
      </c>
      <c r="AB8" s="11">
        <v>649234.35</v>
      </c>
      <c r="AC8" s="11">
        <v>297350</v>
      </c>
      <c r="AD8" s="11">
        <v>202757</v>
      </c>
      <c r="AE8" s="11">
        <v>765497.46</v>
      </c>
      <c r="AF8" s="11">
        <v>402168.94</v>
      </c>
      <c r="AG8" s="11">
        <v>550320.78</v>
      </c>
      <c r="AH8" s="12">
        <f t="shared" si="5"/>
        <v>12790398.129999999</v>
      </c>
      <c r="AI8" s="57">
        <f t="shared" si="6"/>
        <v>0</v>
      </c>
      <c r="AK8" s="9" t="s">
        <v>356</v>
      </c>
      <c r="AL8" s="11">
        <v>2068235.28</v>
      </c>
      <c r="AM8" s="11">
        <v>1728089.83</v>
      </c>
      <c r="AN8" s="11">
        <v>3081211.74</v>
      </c>
      <c r="AO8" s="11">
        <v>2701896.17</v>
      </c>
      <c r="AP8" s="11">
        <v>3210965.1</v>
      </c>
      <c r="AQ8" s="12">
        <f t="shared" si="7"/>
        <v>12790398.119999999</v>
      </c>
      <c r="AR8" s="57">
        <f t="shared" si="8"/>
        <v>-1.0000001639127731E-2</v>
      </c>
    </row>
    <row r="9" spans="1:44">
      <c r="A9" s="9" t="s">
        <v>357</v>
      </c>
      <c r="B9" s="11">
        <v>813682.6</v>
      </c>
      <c r="D9" s="9" t="s">
        <v>358</v>
      </c>
      <c r="E9" s="11">
        <v>444481.8</v>
      </c>
      <c r="F9" s="11">
        <v>115624.82</v>
      </c>
      <c r="G9" s="11">
        <v>0</v>
      </c>
      <c r="H9" s="11">
        <v>-26399.7</v>
      </c>
      <c r="I9" s="11">
        <v>-46814.33</v>
      </c>
      <c r="J9" s="11">
        <v>4899.95</v>
      </c>
      <c r="K9" s="12">
        <f t="shared" si="0"/>
        <v>491792.54000000004</v>
      </c>
      <c r="L9" s="12">
        <f t="shared" si="1"/>
        <v>491792.54000000004</v>
      </c>
      <c r="M9" s="57">
        <f t="shared" si="2"/>
        <v>0</v>
      </c>
      <c r="O9" s="9" t="s">
        <v>359</v>
      </c>
      <c r="P9" s="11">
        <v>2712550.13</v>
      </c>
      <c r="Q9" s="11">
        <v>3926396.79</v>
      </c>
      <c r="R9" s="11">
        <v>6933075.5899999999</v>
      </c>
      <c r="S9" s="12">
        <f t="shared" si="3"/>
        <v>13572022.51</v>
      </c>
      <c r="T9" s="57">
        <f t="shared" si="4"/>
        <v>0</v>
      </c>
      <c r="V9" s="9" t="s">
        <v>359</v>
      </c>
      <c r="W9" s="11">
        <v>2575829.9700000002</v>
      </c>
      <c r="X9" s="11">
        <v>3023382.48</v>
      </c>
      <c r="Y9" s="11">
        <v>2689755.31</v>
      </c>
      <c r="Z9" s="11">
        <v>1287571.97</v>
      </c>
      <c r="AA9" s="11">
        <v>859277.9</v>
      </c>
      <c r="AB9" s="11">
        <v>746241.58</v>
      </c>
      <c r="AC9" s="11">
        <v>370412</v>
      </c>
      <c r="AD9" s="11">
        <v>214445</v>
      </c>
      <c r="AE9" s="11">
        <v>797587.18</v>
      </c>
      <c r="AF9" s="11">
        <v>451503.74</v>
      </c>
      <c r="AG9" s="11">
        <v>556015.38</v>
      </c>
      <c r="AH9" s="12">
        <f t="shared" si="5"/>
        <v>13572022.510000002</v>
      </c>
      <c r="AI9" s="57">
        <f t="shared" si="6"/>
        <v>0</v>
      </c>
      <c r="AK9" s="9" t="s">
        <v>359</v>
      </c>
      <c r="AL9" s="11">
        <v>2165057.2599999998</v>
      </c>
      <c r="AM9" s="11">
        <v>1789639.79</v>
      </c>
      <c r="AN9" s="11">
        <v>3373622.64</v>
      </c>
      <c r="AO9" s="11">
        <v>2923465.47</v>
      </c>
      <c r="AP9" s="11">
        <v>3320237.35</v>
      </c>
      <c r="AQ9" s="12">
        <f t="shared" si="7"/>
        <v>13572022.51</v>
      </c>
      <c r="AR9" s="57">
        <f t="shared" si="8"/>
        <v>0</v>
      </c>
    </row>
    <row r="10" spans="1:44">
      <c r="A10" s="9" t="s">
        <v>360</v>
      </c>
      <c r="B10" s="11">
        <v>1133598.1599999999</v>
      </c>
      <c r="D10" s="9" t="s">
        <v>361</v>
      </c>
      <c r="E10" s="11">
        <v>516381.69</v>
      </c>
      <c r="F10" s="11">
        <v>94556.3</v>
      </c>
      <c r="G10" s="11">
        <v>20391.43</v>
      </c>
      <c r="H10" s="11">
        <v>-80151.759999999995</v>
      </c>
      <c r="I10" s="11">
        <v>-28425.85</v>
      </c>
      <c r="J10" s="11">
        <v>5058.1899999999996</v>
      </c>
      <c r="K10" s="12">
        <f t="shared" si="0"/>
        <v>527810</v>
      </c>
      <c r="L10" s="12">
        <f t="shared" si="1"/>
        <v>527810</v>
      </c>
      <c r="M10" s="57">
        <f t="shared" si="2"/>
        <v>0</v>
      </c>
      <c r="O10" s="9" t="s">
        <v>362</v>
      </c>
      <c r="P10" s="11">
        <v>2902634.73</v>
      </c>
      <c r="Q10" s="11">
        <v>4244597.49</v>
      </c>
      <c r="R10" s="11">
        <v>7448857.0599999996</v>
      </c>
      <c r="S10" s="12">
        <f t="shared" si="3"/>
        <v>14596089.280000001</v>
      </c>
      <c r="T10" s="57">
        <f t="shared" si="4"/>
        <v>1.0000001639127731E-2</v>
      </c>
      <c r="V10" s="9" t="s">
        <v>362</v>
      </c>
      <c r="W10" s="11">
        <v>2780673.74</v>
      </c>
      <c r="X10" s="11">
        <v>3308659.71</v>
      </c>
      <c r="Y10" s="11">
        <v>2872741.69</v>
      </c>
      <c r="Z10" s="11">
        <v>1410370.96</v>
      </c>
      <c r="AA10" s="11">
        <v>868756.9</v>
      </c>
      <c r="AB10" s="11">
        <v>796365.58</v>
      </c>
      <c r="AC10" s="11">
        <v>439679</v>
      </c>
      <c r="AD10" s="11">
        <v>191785</v>
      </c>
      <c r="AE10" s="11">
        <v>844670.81</v>
      </c>
      <c r="AF10" s="11">
        <v>504657.45</v>
      </c>
      <c r="AG10" s="11">
        <v>577728.43000000005</v>
      </c>
      <c r="AH10" s="12">
        <f t="shared" si="5"/>
        <v>14596089.270000001</v>
      </c>
      <c r="AI10" s="57">
        <f t="shared" si="6"/>
        <v>0</v>
      </c>
      <c r="AK10" s="9" t="s">
        <v>362</v>
      </c>
      <c r="AL10" s="11">
        <v>2266525.5499999998</v>
      </c>
      <c r="AM10" s="11">
        <v>1946655.38</v>
      </c>
      <c r="AN10" s="11">
        <v>3590784.37</v>
      </c>
      <c r="AO10" s="11">
        <v>3131074.76</v>
      </c>
      <c r="AP10" s="11">
        <v>3661049.21</v>
      </c>
      <c r="AQ10" s="12">
        <f t="shared" si="7"/>
        <v>14596089.27</v>
      </c>
      <c r="AR10" s="57">
        <f t="shared" si="8"/>
        <v>0</v>
      </c>
    </row>
    <row r="11" spans="1:44">
      <c r="A11" s="9" t="s">
        <v>363</v>
      </c>
      <c r="B11" s="11">
        <v>1361334.67</v>
      </c>
      <c r="D11" s="9" t="s">
        <v>364</v>
      </c>
      <c r="E11" s="11">
        <v>573767.47</v>
      </c>
      <c r="F11" s="11">
        <v>89573.19</v>
      </c>
      <c r="G11" s="11">
        <v>20530</v>
      </c>
      <c r="H11" s="11">
        <v>-7365.92</v>
      </c>
      <c r="I11" s="11">
        <v>-62097.5</v>
      </c>
      <c r="J11" s="11">
        <v>13866.56</v>
      </c>
      <c r="K11" s="12">
        <f t="shared" si="0"/>
        <v>628273.79999999993</v>
      </c>
      <c r="L11" s="12">
        <f t="shared" si="1"/>
        <v>628273.79999999981</v>
      </c>
      <c r="M11" s="57">
        <f t="shared" si="2"/>
        <v>0</v>
      </c>
      <c r="O11" s="9" t="s">
        <v>365</v>
      </c>
      <c r="P11" s="11">
        <v>3055153.17</v>
      </c>
      <c r="Q11" s="11">
        <v>4454778.37</v>
      </c>
      <c r="R11" s="11">
        <v>7669048.6600000001</v>
      </c>
      <c r="S11" s="12">
        <f t="shared" si="3"/>
        <v>15178980.199999999</v>
      </c>
      <c r="T11" s="57">
        <f t="shared" si="4"/>
        <v>0</v>
      </c>
      <c r="V11" s="9" t="s">
        <v>365</v>
      </c>
      <c r="W11" s="11">
        <v>2840972.25</v>
      </c>
      <c r="X11" s="11">
        <v>3406412.91</v>
      </c>
      <c r="Y11" s="11">
        <v>2978188.04</v>
      </c>
      <c r="Z11" s="11">
        <v>1422146.48</v>
      </c>
      <c r="AA11" s="11">
        <v>977947.85</v>
      </c>
      <c r="AB11" s="11">
        <v>860866.56000000006</v>
      </c>
      <c r="AC11" s="11">
        <v>425918</v>
      </c>
      <c r="AD11" s="11">
        <v>206625</v>
      </c>
      <c r="AE11" s="11">
        <v>900474.38</v>
      </c>
      <c r="AF11" s="11">
        <v>535378.6</v>
      </c>
      <c r="AG11" s="11">
        <v>624050.14</v>
      </c>
      <c r="AH11" s="12">
        <f t="shared" si="5"/>
        <v>15178980.210000001</v>
      </c>
      <c r="AI11" s="57">
        <f t="shared" si="6"/>
        <v>1.0000001639127731E-2</v>
      </c>
      <c r="AK11" s="9" t="s">
        <v>365</v>
      </c>
      <c r="AL11" s="11">
        <v>2260950.34</v>
      </c>
      <c r="AM11" s="11">
        <v>2099688.7599999998</v>
      </c>
      <c r="AN11" s="11">
        <v>3810250.28</v>
      </c>
      <c r="AO11" s="11">
        <v>3170579.34</v>
      </c>
      <c r="AP11" s="11">
        <v>3837511.48</v>
      </c>
      <c r="AQ11" s="12">
        <f t="shared" si="7"/>
        <v>15178980.199999999</v>
      </c>
      <c r="AR11" s="57">
        <f t="shared" si="8"/>
        <v>0</v>
      </c>
    </row>
    <row r="12" spans="1:44">
      <c r="A12" s="9" t="s">
        <v>366</v>
      </c>
      <c r="B12" s="11">
        <v>1711944.56</v>
      </c>
      <c r="D12" s="9" t="s">
        <v>367</v>
      </c>
      <c r="E12" s="11">
        <v>560935.48</v>
      </c>
      <c r="F12" s="11">
        <v>104693.69</v>
      </c>
      <c r="G12" s="11">
        <v>38877.19</v>
      </c>
      <c r="H12" s="11">
        <v>-10804.92</v>
      </c>
      <c r="I12" s="11">
        <v>0</v>
      </c>
      <c r="J12" s="11">
        <v>6540.99</v>
      </c>
      <c r="K12" s="12">
        <f t="shared" si="0"/>
        <v>700242.42999999982</v>
      </c>
      <c r="L12" s="12">
        <f t="shared" si="1"/>
        <v>700242.44000000041</v>
      </c>
      <c r="M12" s="57">
        <f t="shared" si="2"/>
        <v>-1.0000000591389835E-2</v>
      </c>
      <c r="O12" s="9" t="s">
        <v>368</v>
      </c>
      <c r="P12" s="11">
        <v>3254842.63</v>
      </c>
      <c r="Q12" s="11">
        <v>4671914.37</v>
      </c>
      <c r="R12" s="11">
        <v>7995262.3399999999</v>
      </c>
      <c r="S12" s="12">
        <f t="shared" si="3"/>
        <v>15922019.34</v>
      </c>
      <c r="T12" s="57">
        <f t="shared" si="4"/>
        <v>0</v>
      </c>
      <c r="V12" s="9" t="s">
        <v>368</v>
      </c>
      <c r="W12" s="11">
        <v>3052340.81</v>
      </c>
      <c r="X12" s="11">
        <v>3530380.07</v>
      </c>
      <c r="Y12" s="11">
        <v>3107704.15</v>
      </c>
      <c r="Z12" s="11">
        <v>1476233.48</v>
      </c>
      <c r="AA12" s="11">
        <v>1054169.6100000001</v>
      </c>
      <c r="AB12" s="11">
        <v>898403.51</v>
      </c>
      <c r="AC12" s="11">
        <v>446526</v>
      </c>
      <c r="AD12" s="11">
        <v>218143</v>
      </c>
      <c r="AE12" s="11">
        <v>941761.93</v>
      </c>
      <c r="AF12" s="11">
        <v>555655.03</v>
      </c>
      <c r="AG12" s="11">
        <v>640701.75</v>
      </c>
      <c r="AH12" s="12">
        <f t="shared" si="5"/>
        <v>15922019.339999998</v>
      </c>
      <c r="AI12" s="57">
        <f t="shared" si="6"/>
        <v>0</v>
      </c>
      <c r="AK12" s="9" t="s">
        <v>368</v>
      </c>
      <c r="AL12" s="11">
        <v>2321778.64</v>
      </c>
      <c r="AM12" s="11">
        <v>2249832.96</v>
      </c>
      <c r="AN12" s="11">
        <v>4107139.45</v>
      </c>
      <c r="AO12" s="11">
        <v>3333709.31</v>
      </c>
      <c r="AP12" s="11">
        <v>3909558.98</v>
      </c>
      <c r="AQ12" s="12">
        <f t="shared" si="7"/>
        <v>15922019.340000002</v>
      </c>
      <c r="AR12" s="57">
        <f t="shared" si="8"/>
        <v>0</v>
      </c>
    </row>
    <row r="13" spans="1:44">
      <c r="A13" s="9" t="s">
        <v>369</v>
      </c>
      <c r="B13" s="11">
        <v>2054973.14</v>
      </c>
      <c r="D13" s="9" t="s">
        <v>370</v>
      </c>
      <c r="E13" s="11">
        <v>512510.92</v>
      </c>
      <c r="F13" s="11">
        <v>75003.27</v>
      </c>
      <c r="G13" s="11">
        <v>0</v>
      </c>
      <c r="H13" s="11">
        <v>-36888.949999999997</v>
      </c>
      <c r="I13" s="11">
        <v>-63164.6</v>
      </c>
      <c r="J13" s="11">
        <v>3950.91</v>
      </c>
      <c r="K13" s="12">
        <f t="shared" si="0"/>
        <v>491411.55</v>
      </c>
      <c r="L13" s="12">
        <f t="shared" si="1"/>
        <v>491411.54999999981</v>
      </c>
      <c r="M13" s="57">
        <f t="shared" si="2"/>
        <v>0</v>
      </c>
      <c r="O13" s="9" t="s">
        <v>371</v>
      </c>
      <c r="P13" s="11">
        <v>3448240.87</v>
      </c>
      <c r="Q13" s="11">
        <v>4846855.68</v>
      </c>
      <c r="R13" s="11">
        <v>8352518.04</v>
      </c>
      <c r="S13" s="12">
        <f t="shared" si="3"/>
        <v>16647614.59</v>
      </c>
      <c r="T13" s="57">
        <f t="shared" si="4"/>
        <v>0</v>
      </c>
      <c r="V13" s="9" t="s">
        <v>371</v>
      </c>
      <c r="W13" s="11">
        <v>3117029.76</v>
      </c>
      <c r="X13" s="11">
        <v>3779037.47</v>
      </c>
      <c r="Y13" s="11">
        <v>3218215.73</v>
      </c>
      <c r="Z13" s="11">
        <v>1585114.57</v>
      </c>
      <c r="AA13" s="11">
        <v>1061564.98</v>
      </c>
      <c r="AB13" s="11">
        <v>938806.51</v>
      </c>
      <c r="AC13" s="11">
        <v>461595</v>
      </c>
      <c r="AD13" s="11">
        <v>219609</v>
      </c>
      <c r="AE13" s="11">
        <v>1032080.4</v>
      </c>
      <c r="AF13" s="11">
        <v>558012.69999999995</v>
      </c>
      <c r="AG13" s="11">
        <v>676548.47</v>
      </c>
      <c r="AH13" s="12">
        <f t="shared" si="5"/>
        <v>16647614.590000002</v>
      </c>
      <c r="AI13" s="57">
        <f t="shared" si="6"/>
        <v>0</v>
      </c>
      <c r="AK13" s="9" t="s">
        <v>371</v>
      </c>
      <c r="AL13" s="11">
        <v>2424134.2599999998</v>
      </c>
      <c r="AM13" s="11">
        <v>2367888.56</v>
      </c>
      <c r="AN13" s="11">
        <v>4344871.2</v>
      </c>
      <c r="AO13" s="11">
        <v>3485437.75</v>
      </c>
      <c r="AP13" s="11">
        <v>4025282.81</v>
      </c>
      <c r="AQ13" s="12">
        <f t="shared" si="7"/>
        <v>16647614.58</v>
      </c>
      <c r="AR13" s="57">
        <f t="shared" si="8"/>
        <v>-9.9999997764825821E-3</v>
      </c>
    </row>
    <row r="14" spans="1:44">
      <c r="A14" s="9" t="s">
        <v>372</v>
      </c>
      <c r="B14" s="11">
        <v>2429578.88</v>
      </c>
      <c r="D14" s="9" t="s">
        <v>373</v>
      </c>
      <c r="E14" s="11">
        <v>736728.07</v>
      </c>
      <c r="F14" s="11">
        <v>71338.080000000002</v>
      </c>
      <c r="G14" s="11">
        <v>19005.509999999998</v>
      </c>
      <c r="H14" s="11">
        <v>-32946.21</v>
      </c>
      <c r="I14" s="11">
        <v>-92541.22</v>
      </c>
      <c r="J14" s="11">
        <v>-4668.92</v>
      </c>
      <c r="K14" s="12">
        <f t="shared" si="0"/>
        <v>696915.30999999994</v>
      </c>
      <c r="L14" s="12">
        <f t="shared" si="1"/>
        <v>696915.31999999937</v>
      </c>
      <c r="M14" s="57">
        <f t="shared" si="2"/>
        <v>-9.9999994272366166E-3</v>
      </c>
      <c r="O14" s="9" t="s">
        <v>374</v>
      </c>
      <c r="P14" s="11">
        <v>3488283.7</v>
      </c>
      <c r="Q14" s="11">
        <v>5133465.0599999996</v>
      </c>
      <c r="R14" s="11">
        <v>8673184.9900000002</v>
      </c>
      <c r="S14" s="12">
        <f t="shared" si="3"/>
        <v>17294933.75</v>
      </c>
      <c r="T14" s="57">
        <f t="shared" si="4"/>
        <v>0</v>
      </c>
      <c r="V14" s="9" t="s">
        <v>374</v>
      </c>
      <c r="W14" s="11">
        <v>3287555.9</v>
      </c>
      <c r="X14" s="11">
        <v>3974275.07</v>
      </c>
      <c r="Y14" s="11">
        <v>3265450.01</v>
      </c>
      <c r="Z14" s="11">
        <v>1623685.57</v>
      </c>
      <c r="AA14" s="11">
        <v>1105322.07</v>
      </c>
      <c r="AB14" s="11">
        <v>920551.35</v>
      </c>
      <c r="AC14" s="11">
        <v>472722</v>
      </c>
      <c r="AD14" s="11">
        <v>209917</v>
      </c>
      <c r="AE14" s="11">
        <v>1100380.1000000001</v>
      </c>
      <c r="AF14" s="11">
        <v>626831.86</v>
      </c>
      <c r="AG14" s="11">
        <v>708242.82</v>
      </c>
      <c r="AH14" s="12">
        <f t="shared" si="5"/>
        <v>17294933.75</v>
      </c>
      <c r="AI14" s="57">
        <f t="shared" si="6"/>
        <v>0</v>
      </c>
      <c r="AK14" s="9" t="s">
        <v>374</v>
      </c>
      <c r="AL14" s="11">
        <v>2429138.0499999998</v>
      </c>
      <c r="AM14" s="11">
        <v>2403020.36</v>
      </c>
      <c r="AN14" s="11">
        <v>4598171.2300000004</v>
      </c>
      <c r="AO14" s="11">
        <v>3641307.34</v>
      </c>
      <c r="AP14" s="11">
        <v>4223296.76</v>
      </c>
      <c r="AQ14" s="12">
        <f t="shared" si="7"/>
        <v>17294933.740000002</v>
      </c>
      <c r="AR14" s="57">
        <f t="shared" si="8"/>
        <v>-9.9999979138374329E-3</v>
      </c>
    </row>
    <row r="15" spans="1:44">
      <c r="A15" s="9" t="s">
        <v>375</v>
      </c>
      <c r="B15" s="11">
        <v>3020769.5</v>
      </c>
      <c r="D15" s="9" t="s">
        <v>376</v>
      </c>
      <c r="E15" s="11">
        <v>538279.77</v>
      </c>
      <c r="F15" s="11">
        <v>159488.29999999999</v>
      </c>
      <c r="G15" s="11">
        <v>61224.65</v>
      </c>
      <c r="H15" s="11">
        <v>-19162.580000000002</v>
      </c>
      <c r="I15" s="11">
        <v>-46161.09</v>
      </c>
      <c r="J15" s="11">
        <v>-22404.5</v>
      </c>
      <c r="K15" s="12">
        <f t="shared" si="0"/>
        <v>671264.55000000016</v>
      </c>
      <c r="L15" s="12">
        <f t="shared" si="1"/>
        <v>671264.55000000075</v>
      </c>
      <c r="M15" s="57">
        <f t="shared" si="2"/>
        <v>0</v>
      </c>
      <c r="O15" s="9" t="s">
        <v>377</v>
      </c>
      <c r="P15" s="11">
        <v>3595506.19</v>
      </c>
      <c r="Q15" s="11">
        <v>5413753.6299999999</v>
      </c>
      <c r="R15" s="11">
        <v>9178133.2899999991</v>
      </c>
      <c r="S15" s="12">
        <f t="shared" si="3"/>
        <v>18187393.109999999</v>
      </c>
      <c r="T15" s="57">
        <f t="shared" si="4"/>
        <v>0</v>
      </c>
      <c r="V15" s="9" t="s">
        <v>377</v>
      </c>
      <c r="W15" s="11">
        <v>3417892.32</v>
      </c>
      <c r="X15" s="11">
        <v>4175661.4</v>
      </c>
      <c r="Y15" s="11">
        <v>3381367.75</v>
      </c>
      <c r="Z15" s="11">
        <v>1765794.37</v>
      </c>
      <c r="AA15" s="11">
        <v>1151676.45</v>
      </c>
      <c r="AB15" s="11">
        <v>929110.05</v>
      </c>
      <c r="AC15" s="11">
        <v>500096</v>
      </c>
      <c r="AD15" s="11">
        <v>247955</v>
      </c>
      <c r="AE15" s="11">
        <v>1219887.03</v>
      </c>
      <c r="AF15" s="11">
        <v>686706.51</v>
      </c>
      <c r="AG15" s="11">
        <v>711246.23</v>
      </c>
      <c r="AH15" s="12">
        <f t="shared" si="5"/>
        <v>18187393.110000003</v>
      </c>
      <c r="AI15" s="57">
        <f t="shared" si="6"/>
        <v>0</v>
      </c>
      <c r="AK15" s="9" t="s">
        <v>377</v>
      </c>
      <c r="AL15" s="11">
        <v>2487670.06</v>
      </c>
      <c r="AM15" s="11">
        <v>2521267.11</v>
      </c>
      <c r="AN15" s="11">
        <v>4892490.83</v>
      </c>
      <c r="AO15" s="11">
        <v>3733984.11</v>
      </c>
      <c r="AP15" s="11">
        <v>4551981</v>
      </c>
      <c r="AQ15" s="12">
        <f t="shared" si="7"/>
        <v>18187393.109999999</v>
      </c>
      <c r="AR15" s="57">
        <f t="shared" si="8"/>
        <v>0</v>
      </c>
    </row>
    <row r="16" spans="1:44">
      <c r="A16" s="9" t="s">
        <v>378</v>
      </c>
      <c r="B16" s="11">
        <v>3388144.5</v>
      </c>
      <c r="D16" s="9" t="s">
        <v>379</v>
      </c>
      <c r="E16" s="11">
        <v>697342.38</v>
      </c>
      <c r="F16" s="11">
        <v>101237.31</v>
      </c>
      <c r="G16" s="11">
        <v>58892.08</v>
      </c>
      <c r="H16" s="11">
        <v>-37192.42</v>
      </c>
      <c r="I16" s="11">
        <v>-52877.94</v>
      </c>
      <c r="J16" s="11">
        <v>-5974.77</v>
      </c>
      <c r="K16" s="12">
        <f t="shared" si="0"/>
        <v>761426.6399999999</v>
      </c>
      <c r="L16" s="12">
        <f t="shared" si="1"/>
        <v>761426.63999999873</v>
      </c>
      <c r="M16" s="57">
        <f t="shared" si="2"/>
        <v>1.1641532182693481E-9</v>
      </c>
      <c r="O16" s="9" t="s">
        <v>380</v>
      </c>
      <c r="P16" s="11">
        <v>3861968.89</v>
      </c>
      <c r="Q16" s="11">
        <v>5566969.3200000003</v>
      </c>
      <c r="R16" s="11">
        <v>9546121.8499999996</v>
      </c>
      <c r="S16" s="12">
        <f t="shared" si="3"/>
        <v>18975060.060000002</v>
      </c>
      <c r="T16" s="57">
        <f t="shared" si="4"/>
        <v>0</v>
      </c>
      <c r="V16" s="9" t="s">
        <v>380</v>
      </c>
      <c r="W16" s="11">
        <v>3578254.89</v>
      </c>
      <c r="X16" s="11">
        <v>4433670.63</v>
      </c>
      <c r="Y16" s="11">
        <v>3478362.98</v>
      </c>
      <c r="Z16" s="11">
        <v>1814583.12</v>
      </c>
      <c r="AA16" s="11">
        <v>1200482.6299999999</v>
      </c>
      <c r="AB16" s="11">
        <v>1008195.05</v>
      </c>
      <c r="AC16" s="11">
        <v>529633.81999999995</v>
      </c>
      <c r="AD16" s="11">
        <v>249230</v>
      </c>
      <c r="AE16" s="11">
        <v>1266611.78</v>
      </c>
      <c r="AF16" s="11">
        <v>676053.26</v>
      </c>
      <c r="AG16" s="11">
        <v>739981.88</v>
      </c>
      <c r="AH16" s="12">
        <f t="shared" si="5"/>
        <v>18975060.040000003</v>
      </c>
      <c r="AI16" s="57">
        <f t="shared" si="6"/>
        <v>-1.9999995827674866E-2</v>
      </c>
      <c r="AK16" s="9" t="s">
        <v>380</v>
      </c>
      <c r="AL16" s="11">
        <v>2645703.3199999998</v>
      </c>
      <c r="AM16" s="11">
        <v>2683952.2999999998</v>
      </c>
      <c r="AN16" s="11">
        <v>5136904.24</v>
      </c>
      <c r="AO16" s="11">
        <v>3851628.82</v>
      </c>
      <c r="AP16" s="11">
        <v>4656871.38</v>
      </c>
      <c r="AQ16" s="12">
        <f t="shared" si="7"/>
        <v>18975060.059999999</v>
      </c>
      <c r="AR16" s="57">
        <f t="shared" si="8"/>
        <v>0</v>
      </c>
    </row>
    <row r="17" spans="1:44">
      <c r="A17" s="9" t="s">
        <v>349</v>
      </c>
      <c r="B17" s="11">
        <v>4023180.44</v>
      </c>
      <c r="D17" s="9" t="s">
        <v>350</v>
      </c>
      <c r="E17" s="11">
        <v>793489.51</v>
      </c>
      <c r="F17" s="11">
        <v>171515.01</v>
      </c>
      <c r="G17" s="11">
        <v>22692</v>
      </c>
      <c r="H17" s="11">
        <v>-30870.01</v>
      </c>
      <c r="I17" s="11">
        <v>-19662.39</v>
      </c>
      <c r="J17" s="11">
        <v>-20021.3</v>
      </c>
      <c r="K17" s="12">
        <f t="shared" si="0"/>
        <v>917142.82</v>
      </c>
      <c r="L17" s="12">
        <f t="shared" si="1"/>
        <v>917142.8200000003</v>
      </c>
      <c r="M17" s="57">
        <f t="shared" si="2"/>
        <v>0</v>
      </c>
      <c r="O17" s="9" t="s">
        <v>381</v>
      </c>
      <c r="P17" s="11">
        <v>4129598.47</v>
      </c>
      <c r="Q17" s="11">
        <v>5775070.2800000003</v>
      </c>
      <c r="R17" s="11">
        <v>9956511.7799999993</v>
      </c>
      <c r="S17" s="12">
        <f t="shared" si="3"/>
        <v>19861180.530000001</v>
      </c>
      <c r="T17" s="57">
        <f t="shared" si="4"/>
        <v>0</v>
      </c>
      <c r="V17" s="9" t="s">
        <v>381</v>
      </c>
      <c r="W17" s="11">
        <v>3726766.22</v>
      </c>
      <c r="X17" s="11">
        <v>4619276.92</v>
      </c>
      <c r="Y17" s="11">
        <v>3714411.63</v>
      </c>
      <c r="Z17" s="11">
        <v>1927711.12</v>
      </c>
      <c r="AA17" s="11">
        <v>1231332.0900000001</v>
      </c>
      <c r="AB17" s="11">
        <v>1026974.56</v>
      </c>
      <c r="AC17" s="11">
        <v>572032.66</v>
      </c>
      <c r="AD17" s="11">
        <v>239601</v>
      </c>
      <c r="AE17" s="11">
        <v>1299506.3</v>
      </c>
      <c r="AF17" s="11">
        <v>720927</v>
      </c>
      <c r="AG17" s="11">
        <v>782641.03</v>
      </c>
      <c r="AH17" s="12">
        <f t="shared" si="5"/>
        <v>19861180.530000001</v>
      </c>
      <c r="AI17" s="57">
        <f t="shared" si="6"/>
        <v>0</v>
      </c>
      <c r="AK17" s="9" t="s">
        <v>381</v>
      </c>
      <c r="AL17" s="11">
        <v>2675646.25</v>
      </c>
      <c r="AM17" s="11">
        <v>2789529.23</v>
      </c>
      <c r="AN17" s="11">
        <v>5447792.4299999997</v>
      </c>
      <c r="AO17" s="11">
        <v>4033980.91</v>
      </c>
      <c r="AP17" s="11">
        <v>4914231.71</v>
      </c>
      <c r="AQ17" s="12">
        <f t="shared" si="7"/>
        <v>19861180.530000001</v>
      </c>
      <c r="AR17" s="57">
        <f t="shared" si="8"/>
        <v>0</v>
      </c>
    </row>
    <row r="18" spans="1:44">
      <c r="A18" s="9" t="s">
        <v>352</v>
      </c>
      <c r="B18" s="11">
        <v>4845494.22</v>
      </c>
      <c r="D18" s="9" t="s">
        <v>353</v>
      </c>
      <c r="E18" s="11">
        <v>741537.35</v>
      </c>
      <c r="F18" s="11">
        <v>169188.1</v>
      </c>
      <c r="G18" s="11">
        <v>21235.62</v>
      </c>
      <c r="H18" s="11">
        <v>-75266.990000000005</v>
      </c>
      <c r="I18" s="11">
        <v>-62384.99</v>
      </c>
      <c r="J18" s="11">
        <v>-34322.94</v>
      </c>
      <c r="K18" s="12">
        <f t="shared" si="0"/>
        <v>759986.14999999991</v>
      </c>
      <c r="L18" s="12">
        <f t="shared" si="1"/>
        <v>759986.16000000015</v>
      </c>
      <c r="M18" s="57">
        <f t="shared" si="2"/>
        <v>-1.0000000242143869E-2</v>
      </c>
      <c r="O18" s="9" t="s">
        <v>382</v>
      </c>
      <c r="P18" s="11">
        <v>4230468.78</v>
      </c>
      <c r="Q18" s="11">
        <v>6063453.7199999997</v>
      </c>
      <c r="R18" s="11">
        <v>10307054.289999999</v>
      </c>
      <c r="S18" s="12">
        <f t="shared" si="3"/>
        <v>20600976.789999999</v>
      </c>
      <c r="T18" s="57">
        <f t="shared" si="4"/>
        <v>0</v>
      </c>
      <c r="V18" s="9" t="s">
        <v>382</v>
      </c>
      <c r="W18" s="11">
        <v>3921935.61</v>
      </c>
      <c r="X18" s="11">
        <v>4827532.9000000004</v>
      </c>
      <c r="Y18" s="11">
        <v>3780790.24</v>
      </c>
      <c r="Z18" s="11">
        <v>1946717.1</v>
      </c>
      <c r="AA18" s="11">
        <v>1294838.32</v>
      </c>
      <c r="AB18" s="11">
        <v>1020630.56</v>
      </c>
      <c r="AC18" s="11">
        <v>606036.49</v>
      </c>
      <c r="AD18" s="11">
        <v>259557</v>
      </c>
      <c r="AE18" s="11">
        <v>1342636.07</v>
      </c>
      <c r="AF18" s="11">
        <v>761627.39</v>
      </c>
      <c r="AG18" s="11">
        <v>838675.08</v>
      </c>
      <c r="AH18" s="12">
        <f t="shared" si="5"/>
        <v>20600976.759999998</v>
      </c>
      <c r="AI18" s="57">
        <f t="shared" si="6"/>
        <v>-3.0000001192092896E-2</v>
      </c>
      <c r="AK18" s="9" t="s">
        <v>382</v>
      </c>
      <c r="AL18" s="11">
        <v>2712671.63</v>
      </c>
      <c r="AM18" s="11">
        <v>2864399.51</v>
      </c>
      <c r="AN18" s="11">
        <v>5630447.9299999997</v>
      </c>
      <c r="AO18" s="11">
        <v>4207962.4800000004</v>
      </c>
      <c r="AP18" s="11">
        <v>5185495.24</v>
      </c>
      <c r="AQ18" s="12">
        <f t="shared" si="7"/>
        <v>20600976.789999999</v>
      </c>
      <c r="AR18" s="57">
        <f t="shared" si="8"/>
        <v>0</v>
      </c>
    </row>
    <row r="19" spans="1:44">
      <c r="A19" s="9" t="s">
        <v>355</v>
      </c>
      <c r="B19" s="11">
        <v>5394952.2000000002</v>
      </c>
      <c r="D19" s="9" t="s">
        <v>356</v>
      </c>
      <c r="E19" s="11">
        <v>706086.44</v>
      </c>
      <c r="F19" s="11">
        <v>286648.36</v>
      </c>
      <c r="G19" s="11">
        <v>11556</v>
      </c>
      <c r="H19" s="11">
        <v>-47518.71</v>
      </c>
      <c r="I19" s="11">
        <v>-183873.76</v>
      </c>
      <c r="J19" s="11">
        <v>-23718.21</v>
      </c>
      <c r="K19" s="12">
        <f t="shared" si="0"/>
        <v>749180.12</v>
      </c>
      <c r="L19" s="12">
        <f t="shared" si="1"/>
        <v>749180.11000000127</v>
      </c>
      <c r="M19" s="57">
        <f t="shared" si="2"/>
        <v>9.9999987287446856E-3</v>
      </c>
      <c r="O19" s="9" t="s">
        <v>383</v>
      </c>
      <c r="P19" s="11">
        <v>4445019.62</v>
      </c>
      <c r="Q19" s="11">
        <v>6414334.75</v>
      </c>
      <c r="R19" s="11">
        <v>10888639.98</v>
      </c>
      <c r="S19" s="12">
        <f t="shared" si="3"/>
        <v>21747994.350000001</v>
      </c>
      <c r="T19" s="57">
        <f t="shared" si="4"/>
        <v>0</v>
      </c>
      <c r="V19" s="9" t="s">
        <v>383</v>
      </c>
      <c r="W19" s="11">
        <v>4083871.85</v>
      </c>
      <c r="X19" s="11">
        <v>5198289</v>
      </c>
      <c r="Y19" s="11">
        <v>3921319.19</v>
      </c>
      <c r="Z19" s="11">
        <v>1999995.98</v>
      </c>
      <c r="AA19" s="11">
        <v>1378934.36</v>
      </c>
      <c r="AB19" s="11">
        <v>1092774.56</v>
      </c>
      <c r="AC19" s="11">
        <v>645568.49</v>
      </c>
      <c r="AD19" s="11">
        <v>269906</v>
      </c>
      <c r="AE19" s="11">
        <v>1438759.06</v>
      </c>
      <c r="AF19" s="11">
        <v>818915.58</v>
      </c>
      <c r="AG19" s="11">
        <v>899660.26</v>
      </c>
      <c r="AH19" s="12">
        <f t="shared" si="5"/>
        <v>21747994.329999994</v>
      </c>
      <c r="AI19" s="57">
        <f t="shared" si="6"/>
        <v>-2.0000007003545761E-2</v>
      </c>
      <c r="AK19" s="9" t="s">
        <v>383</v>
      </c>
      <c r="AL19" s="11">
        <v>2763624.92</v>
      </c>
      <c r="AM19" s="11">
        <v>3089332.42</v>
      </c>
      <c r="AN19" s="11">
        <v>5957503.0199999996</v>
      </c>
      <c r="AO19" s="11">
        <v>4460127.38</v>
      </c>
      <c r="AP19" s="11">
        <v>5477406.5999999996</v>
      </c>
      <c r="AQ19" s="12">
        <f t="shared" si="7"/>
        <v>21747994.339999996</v>
      </c>
      <c r="AR19" s="57">
        <f t="shared" si="8"/>
        <v>-1.000000536441803E-2</v>
      </c>
    </row>
    <row r="20" spans="1:44">
      <c r="A20" s="9" t="s">
        <v>358</v>
      </c>
      <c r="B20" s="11">
        <v>5886744.7400000002</v>
      </c>
      <c r="D20" s="9" t="s">
        <v>359</v>
      </c>
      <c r="E20" s="11">
        <v>741011.7</v>
      </c>
      <c r="F20" s="11">
        <v>253200.06</v>
      </c>
      <c r="G20" s="11">
        <v>53944.53</v>
      </c>
      <c r="H20" s="11">
        <v>-84009.56</v>
      </c>
      <c r="I20" s="11">
        <v>-160610.06</v>
      </c>
      <c r="J20" s="11">
        <v>-21912.29</v>
      </c>
      <c r="K20" s="12">
        <f t="shared" si="0"/>
        <v>781624.37999999989</v>
      </c>
      <c r="L20" s="12">
        <f t="shared" si="1"/>
        <v>781624.37999999896</v>
      </c>
      <c r="M20" s="57">
        <f t="shared" si="2"/>
        <v>9.3132257461547852E-10</v>
      </c>
      <c r="O20" s="9" t="s">
        <v>384</v>
      </c>
      <c r="P20" s="11">
        <v>4370421.01</v>
      </c>
      <c r="Q20" s="11">
        <v>6358933.29</v>
      </c>
      <c r="R20" s="11">
        <v>10676249.289999999</v>
      </c>
      <c r="S20" s="12">
        <f t="shared" si="3"/>
        <v>21405603.59</v>
      </c>
      <c r="T20" s="57">
        <f t="shared" si="4"/>
        <v>0</v>
      </c>
      <c r="V20" s="9" t="s">
        <v>384</v>
      </c>
      <c r="W20" s="11">
        <v>4005084.85</v>
      </c>
      <c r="X20" s="11">
        <v>5109523.5999999996</v>
      </c>
      <c r="Y20" s="11">
        <v>3852255.84</v>
      </c>
      <c r="Z20" s="11">
        <v>1971940.98</v>
      </c>
      <c r="AA20" s="11">
        <v>1381228.36</v>
      </c>
      <c r="AB20" s="11">
        <v>1064715.56</v>
      </c>
      <c r="AC20" s="11">
        <v>636217.49</v>
      </c>
      <c r="AD20" s="11">
        <v>246558</v>
      </c>
      <c r="AE20" s="11">
        <v>1417489.4</v>
      </c>
      <c r="AF20" s="11">
        <v>820929.23</v>
      </c>
      <c r="AG20" s="11">
        <v>899660.26</v>
      </c>
      <c r="AH20" s="12">
        <f t="shared" si="5"/>
        <v>21405603.569999997</v>
      </c>
      <c r="AI20" s="57">
        <f t="shared" si="6"/>
        <v>-2.0000003278255463E-2</v>
      </c>
      <c r="AK20" s="9" t="s">
        <v>384</v>
      </c>
      <c r="AL20" s="11">
        <v>2659765.0099999998</v>
      </c>
      <c r="AM20" s="11">
        <v>3052653.42</v>
      </c>
      <c r="AN20" s="11">
        <v>5916354.4699999997</v>
      </c>
      <c r="AO20" s="11">
        <v>4408738.87</v>
      </c>
      <c r="AP20" s="11">
        <v>5368091.8099999996</v>
      </c>
      <c r="AQ20" s="12">
        <f t="shared" si="7"/>
        <v>21405603.579999998</v>
      </c>
      <c r="AR20" s="57">
        <f t="shared" si="8"/>
        <v>-1.0000001639127731E-2</v>
      </c>
    </row>
    <row r="21" spans="1:44">
      <c r="A21" s="9" t="s">
        <v>361</v>
      </c>
      <c r="B21" s="11">
        <v>6414554.7400000002</v>
      </c>
      <c r="D21" s="9" t="s">
        <v>362</v>
      </c>
      <c r="E21" s="11">
        <v>922372.4</v>
      </c>
      <c r="F21" s="11">
        <v>259709.41</v>
      </c>
      <c r="G21" s="11">
        <v>88393.5</v>
      </c>
      <c r="H21" s="11">
        <v>-119788.26</v>
      </c>
      <c r="I21" s="11">
        <v>-109193.2</v>
      </c>
      <c r="J21" s="11">
        <v>-17427.09</v>
      </c>
      <c r="K21" s="12">
        <f t="shared" si="0"/>
        <v>1024066.7600000001</v>
      </c>
      <c r="L21" s="12">
        <f t="shared" si="1"/>
        <v>1024066.7599999998</v>
      </c>
      <c r="M21" s="57">
        <f t="shared" si="2"/>
        <v>0</v>
      </c>
    </row>
    <row r="22" spans="1:44" ht="25.5" customHeight="1">
      <c r="A22" s="9" t="s">
        <v>364</v>
      </c>
      <c r="B22" s="11">
        <v>7042828.54</v>
      </c>
      <c r="D22" s="9" t="s">
        <v>365</v>
      </c>
      <c r="E22" s="11">
        <v>729611.3</v>
      </c>
      <c r="F22" s="11">
        <v>198773.2</v>
      </c>
      <c r="G22" s="11">
        <v>40946.910000000003</v>
      </c>
      <c r="H22" s="11">
        <v>-222189.36</v>
      </c>
      <c r="I22" s="11">
        <v>-136443.65</v>
      </c>
      <c r="J22" s="11">
        <v>-27807.45</v>
      </c>
      <c r="K22" s="12">
        <f t="shared" si="0"/>
        <v>582890.95000000007</v>
      </c>
      <c r="L22" s="12">
        <f t="shared" si="1"/>
        <v>582890.9299999997</v>
      </c>
      <c r="M22" s="57">
        <f t="shared" si="2"/>
        <v>2.0000000367872417E-2</v>
      </c>
      <c r="O22" s="1" t="s">
        <v>385</v>
      </c>
      <c r="P22" s="1"/>
      <c r="Q22" s="1"/>
      <c r="R22" s="1"/>
      <c r="S22" s="1"/>
      <c r="T22" s="1"/>
      <c r="U22" s="1"/>
      <c r="V22" s="1"/>
      <c r="W22" s="1"/>
      <c r="X22" s="1"/>
      <c r="Y22" s="1"/>
      <c r="Z22" s="1"/>
      <c r="AA22" s="1"/>
      <c r="AB22" s="1"/>
    </row>
    <row r="23" spans="1:44">
      <c r="A23" s="9" t="s">
        <v>367</v>
      </c>
      <c r="B23" s="11">
        <v>7743070.9800000004</v>
      </c>
      <c r="D23" s="9" t="s">
        <v>368</v>
      </c>
      <c r="E23" s="11">
        <v>643909.30000000005</v>
      </c>
      <c r="F23" s="11">
        <v>279902.28000000003</v>
      </c>
      <c r="G23" s="11">
        <v>89344.46</v>
      </c>
      <c r="H23" s="11">
        <v>-79926.05</v>
      </c>
      <c r="I23" s="11">
        <v>-143390.82999999999</v>
      </c>
      <c r="J23" s="11">
        <v>-46800.02</v>
      </c>
      <c r="K23" s="12">
        <f t="shared" si="0"/>
        <v>743039.14</v>
      </c>
      <c r="L23" s="12">
        <f t="shared" si="1"/>
        <v>743039.1400000006</v>
      </c>
      <c r="M23" s="57">
        <f t="shared" si="2"/>
        <v>0</v>
      </c>
    </row>
    <row r="24" spans="1:44">
      <c r="A24" s="9" t="s">
        <v>370</v>
      </c>
      <c r="B24" s="11">
        <v>8234482.5300000003</v>
      </c>
      <c r="D24" s="9" t="s">
        <v>371</v>
      </c>
      <c r="E24" s="11">
        <v>697145.56</v>
      </c>
      <c r="F24" s="11">
        <v>195687.59</v>
      </c>
      <c r="G24" s="11">
        <v>82671.77</v>
      </c>
      <c r="H24" s="11">
        <v>-104624.5</v>
      </c>
      <c r="I24" s="11">
        <v>-117382.39</v>
      </c>
      <c r="J24" s="11">
        <v>-27902.77</v>
      </c>
      <c r="K24" s="12">
        <f t="shared" si="0"/>
        <v>725595.26</v>
      </c>
      <c r="L24" s="12">
        <f t="shared" si="1"/>
        <v>725595.25</v>
      </c>
      <c r="M24" s="57">
        <f t="shared" si="2"/>
        <v>1.0000000009313226E-2</v>
      </c>
    </row>
    <row r="25" spans="1:44">
      <c r="A25" s="9" t="s">
        <v>373</v>
      </c>
      <c r="B25" s="11">
        <v>8931397.8499999996</v>
      </c>
      <c r="D25" s="9" t="s">
        <v>374</v>
      </c>
      <c r="E25" s="11">
        <v>528787.01</v>
      </c>
      <c r="F25" s="11">
        <v>301159.56</v>
      </c>
      <c r="G25" s="11">
        <v>16895.240000000002</v>
      </c>
      <c r="H25" s="11">
        <v>-44332.25</v>
      </c>
      <c r="I25" s="11">
        <v>-124125.11</v>
      </c>
      <c r="J25" s="11">
        <v>-31065.3</v>
      </c>
      <c r="K25" s="12">
        <f t="shared" si="0"/>
        <v>647319.15</v>
      </c>
      <c r="L25" s="12">
        <f t="shared" si="1"/>
        <v>647319.16000000015</v>
      </c>
      <c r="M25" s="57">
        <f t="shared" si="2"/>
        <v>-1.0000000125728548E-2</v>
      </c>
      <c r="O25" s="66" t="s">
        <v>386</v>
      </c>
    </row>
    <row r="26" spans="1:44" ht="30" customHeight="1">
      <c r="A26" s="9" t="s">
        <v>376</v>
      </c>
      <c r="B26" s="11">
        <v>9602662.4000000004</v>
      </c>
      <c r="D26" s="9" t="s">
        <v>377</v>
      </c>
      <c r="E26" s="11">
        <v>813106.91</v>
      </c>
      <c r="F26" s="11">
        <v>311338.78000000003</v>
      </c>
      <c r="G26" s="11">
        <v>75561.740000000005</v>
      </c>
      <c r="H26" s="11">
        <v>-121065.32</v>
      </c>
      <c r="I26" s="11">
        <v>-171520.2</v>
      </c>
      <c r="J26" s="11">
        <v>-14962.55</v>
      </c>
      <c r="K26" s="12">
        <f t="shared" si="0"/>
        <v>892459.35999999987</v>
      </c>
      <c r="L26" s="12">
        <f t="shared" si="1"/>
        <v>892459.3599999994</v>
      </c>
      <c r="M26" s="57">
        <f t="shared" si="2"/>
        <v>0</v>
      </c>
      <c r="O26" s="33" t="s">
        <v>223</v>
      </c>
      <c r="P26" s="33" t="s">
        <v>387</v>
      </c>
      <c r="Q26" s="33" t="s">
        <v>388</v>
      </c>
    </row>
    <row r="27" spans="1:44">
      <c r="A27" s="9" t="s">
        <v>379</v>
      </c>
      <c r="B27" s="11">
        <v>10364089.039999999</v>
      </c>
      <c r="D27" s="9" t="s">
        <v>380</v>
      </c>
      <c r="E27" s="11">
        <v>680849.76</v>
      </c>
      <c r="F27" s="11">
        <v>337452.7</v>
      </c>
      <c r="G27" s="11">
        <v>85811.78</v>
      </c>
      <c r="H27" s="11">
        <v>-124665.41</v>
      </c>
      <c r="I27" s="11">
        <v>-179694.86</v>
      </c>
      <c r="J27" s="11">
        <v>-12087.01</v>
      </c>
      <c r="K27" s="12">
        <f t="shared" si="0"/>
        <v>787666.96</v>
      </c>
      <c r="L27" s="12">
        <f t="shared" si="1"/>
        <v>787666.94999999925</v>
      </c>
      <c r="M27" s="57">
        <f t="shared" si="2"/>
        <v>1.0000000707805157E-2</v>
      </c>
      <c r="O27" s="9" t="s">
        <v>377</v>
      </c>
      <c r="P27" s="63">
        <v>1</v>
      </c>
      <c r="Q27" s="63">
        <v>0.98</v>
      </c>
    </row>
    <row r="28" spans="1:44">
      <c r="A28" s="9" t="s">
        <v>350</v>
      </c>
      <c r="B28" s="11">
        <v>11281231.859999999</v>
      </c>
      <c r="D28" s="9" t="s">
        <v>381</v>
      </c>
      <c r="E28" s="11">
        <v>508148.61</v>
      </c>
      <c r="F28" s="11">
        <v>439821.68</v>
      </c>
      <c r="G28" s="11">
        <v>184038.82</v>
      </c>
      <c r="H28" s="11">
        <v>-122492.45</v>
      </c>
      <c r="I28" s="11">
        <v>-111046.18</v>
      </c>
      <c r="J28" s="11">
        <v>-12349.99</v>
      </c>
      <c r="K28" s="12">
        <f t="shared" si="0"/>
        <v>886120.49000000022</v>
      </c>
      <c r="L28" s="12">
        <f t="shared" si="1"/>
        <v>886120.47000000253</v>
      </c>
      <c r="M28" s="57">
        <f t="shared" si="2"/>
        <v>1.9999997690320015E-2</v>
      </c>
      <c r="O28" s="9" t="s">
        <v>380</v>
      </c>
      <c r="P28" s="63">
        <v>1</v>
      </c>
      <c r="Q28" s="63">
        <v>0.98</v>
      </c>
    </row>
    <row r="29" spans="1:44">
      <c r="A29" s="9" t="s">
        <v>353</v>
      </c>
      <c r="B29" s="11">
        <v>12041218.02</v>
      </c>
      <c r="D29" s="9" t="s">
        <v>382</v>
      </c>
      <c r="E29" s="11">
        <v>718631.48</v>
      </c>
      <c r="F29" s="11">
        <v>278569.17</v>
      </c>
      <c r="G29" s="11">
        <v>87027.93</v>
      </c>
      <c r="H29" s="11">
        <v>-184668.78</v>
      </c>
      <c r="I29" s="11">
        <v>-159414.54</v>
      </c>
      <c r="J29" s="11">
        <v>-349.01</v>
      </c>
      <c r="K29" s="12">
        <f t="shared" si="0"/>
        <v>739796.24999999977</v>
      </c>
      <c r="L29" s="12">
        <f t="shared" si="1"/>
        <v>739796.25999999791</v>
      </c>
      <c r="M29" s="57">
        <f t="shared" si="2"/>
        <v>-9.9999981466680765E-3</v>
      </c>
      <c r="O29" s="9" t="s">
        <v>381</v>
      </c>
      <c r="P29" s="63">
        <v>1.01</v>
      </c>
      <c r="Q29" s="63">
        <v>0.99</v>
      </c>
    </row>
    <row r="30" spans="1:44">
      <c r="A30" s="9" t="s">
        <v>356</v>
      </c>
      <c r="B30" s="11">
        <v>12790398.130000001</v>
      </c>
      <c r="D30" s="9" t="s">
        <v>383</v>
      </c>
      <c r="E30" s="11">
        <v>860750.47</v>
      </c>
      <c r="F30" s="11">
        <v>438112.04</v>
      </c>
      <c r="G30" s="11">
        <v>93707.26</v>
      </c>
      <c r="H30" s="11">
        <v>-167421.82</v>
      </c>
      <c r="I30" s="11">
        <v>-98554.68</v>
      </c>
      <c r="J30" s="11">
        <v>20424.310000000001</v>
      </c>
      <c r="K30" s="12">
        <f t="shared" si="0"/>
        <v>1147017.58</v>
      </c>
      <c r="L30" s="12">
        <f t="shared" si="1"/>
        <v>1147017.5600000024</v>
      </c>
      <c r="M30" s="57">
        <f t="shared" si="2"/>
        <v>1.9999997690320015E-2</v>
      </c>
      <c r="O30" s="9" t="s">
        <v>382</v>
      </c>
      <c r="P30" s="63">
        <v>1</v>
      </c>
      <c r="Q30" s="63">
        <v>0.98</v>
      </c>
    </row>
    <row r="31" spans="1:44">
      <c r="A31" s="9" t="s">
        <v>359</v>
      </c>
      <c r="B31" s="11">
        <v>13572022.51</v>
      </c>
      <c r="D31" s="9" t="s">
        <v>384</v>
      </c>
      <c r="E31" s="11">
        <v>0</v>
      </c>
      <c r="F31" s="11">
        <v>3327.21</v>
      </c>
      <c r="G31" s="11">
        <v>0</v>
      </c>
      <c r="H31" s="11">
        <v>-180595</v>
      </c>
      <c r="I31" s="11">
        <v>-166354.39000000001</v>
      </c>
      <c r="J31" s="11">
        <v>1231.43</v>
      </c>
      <c r="K31" s="12">
        <f t="shared" si="0"/>
        <v>-342390.75000000006</v>
      </c>
      <c r="L31" s="12">
        <f t="shared" si="1"/>
        <v>-342390.76000000164</v>
      </c>
      <c r="M31" s="57">
        <f t="shared" si="2"/>
        <v>1.000000158092007E-2</v>
      </c>
    </row>
    <row r="32" spans="1:44">
      <c r="A32" s="9" t="s">
        <v>362</v>
      </c>
      <c r="B32" s="11">
        <v>14596089.27</v>
      </c>
    </row>
    <row r="33" spans="1:13" ht="25.5" customHeight="1">
      <c r="A33" s="9" t="s">
        <v>365</v>
      </c>
      <c r="B33" s="11">
        <v>15178980.199999999</v>
      </c>
      <c r="D33" s="1" t="s">
        <v>389</v>
      </c>
      <c r="E33" s="1"/>
      <c r="F33" s="1"/>
      <c r="G33" s="1"/>
      <c r="H33" s="1"/>
      <c r="I33" s="1"/>
      <c r="J33" s="1"/>
      <c r="K33" s="1"/>
      <c r="L33" s="1"/>
      <c r="M33" s="1"/>
    </row>
    <row r="34" spans="1:13">
      <c r="A34" s="9" t="s">
        <v>368</v>
      </c>
      <c r="B34" s="11">
        <v>15922019.34</v>
      </c>
    </row>
    <row r="35" spans="1:13">
      <c r="A35" s="9" t="s">
        <v>371</v>
      </c>
      <c r="B35" s="11">
        <v>16647614.59</v>
      </c>
    </row>
    <row r="36" spans="1:13">
      <c r="A36" s="9" t="s">
        <v>374</v>
      </c>
      <c r="B36" s="11">
        <v>17294933.75</v>
      </c>
    </row>
    <row r="37" spans="1:13">
      <c r="A37" s="9" t="s">
        <v>377</v>
      </c>
      <c r="B37" s="11">
        <v>18187393.109999999</v>
      </c>
    </row>
    <row r="38" spans="1:13">
      <c r="A38" s="9" t="s">
        <v>380</v>
      </c>
      <c r="B38" s="11">
        <v>18975060.059999999</v>
      </c>
    </row>
    <row r="39" spans="1:13">
      <c r="A39" s="9" t="s">
        <v>381</v>
      </c>
      <c r="B39" s="11">
        <v>19861180.530000001</v>
      </c>
    </row>
    <row r="40" spans="1:13">
      <c r="A40" s="9" t="s">
        <v>382</v>
      </c>
      <c r="B40" s="11">
        <v>20600976.789999999</v>
      </c>
    </row>
    <row r="41" spans="1:13">
      <c r="A41" s="9" t="s">
        <v>383</v>
      </c>
      <c r="B41" s="11">
        <v>21747994.350000001</v>
      </c>
    </row>
    <row r="42" spans="1:13">
      <c r="A42" s="9" t="s">
        <v>384</v>
      </c>
      <c r="B42" s="11">
        <v>21405603.59</v>
      </c>
    </row>
    <row r="44" spans="1:13" ht="78" customHeight="1">
      <c r="A44" s="1" t="s">
        <v>390</v>
      </c>
      <c r="B44" s="1"/>
      <c r="C44" s="1"/>
    </row>
  </sheetData>
  <mergeCells count="3">
    <mergeCell ref="O22:AB22"/>
    <mergeCell ref="D33:M33"/>
    <mergeCell ref="A44:C44"/>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B7C81"/>
  </sheetPr>
  <dimension ref="A1:I139"/>
  <sheetViews>
    <sheetView showGridLines="0" zoomScaleNormal="100" workbookViewId="0">
      <pane ySplit="4" topLeftCell="A5" activePane="bottomLeft" state="frozen"/>
      <selection pane="bottomLeft"/>
    </sheetView>
  </sheetViews>
  <sheetFormatPr baseColWidth="10" defaultColWidth="8.6640625" defaultRowHeight="14.25"/>
  <cols>
    <col min="1" max="1" width="20" customWidth="1"/>
    <col min="2" max="2" width="16" customWidth="1"/>
    <col min="3" max="6" width="14" customWidth="1"/>
    <col min="7" max="7" width="15" customWidth="1"/>
    <col min="8" max="8" width="16" customWidth="1"/>
    <col min="9" max="9" width="12" customWidth="1"/>
  </cols>
  <sheetData>
    <row r="1" spans="1:7">
      <c r="A1" s="5" t="s">
        <v>324</v>
      </c>
    </row>
    <row r="2" spans="1:7" ht="25.5" customHeight="1">
      <c r="A2" s="6" t="s">
        <v>391</v>
      </c>
    </row>
    <row r="3" spans="1:7">
      <c r="A3" s="7" t="s">
        <v>392</v>
      </c>
    </row>
    <row r="5" spans="1:7" ht="39.4">
      <c r="A5" s="25" t="s">
        <v>393</v>
      </c>
    </row>
    <row r="6" spans="1:7" ht="30" customHeight="1">
      <c r="A6" s="33" t="s">
        <v>394</v>
      </c>
      <c r="B6" s="33" t="s">
        <v>395</v>
      </c>
      <c r="C6" s="33" t="s">
        <v>396</v>
      </c>
      <c r="D6" s="33" t="s">
        <v>397</v>
      </c>
      <c r="E6" s="33" t="s">
        <v>398</v>
      </c>
      <c r="F6" s="33" t="s">
        <v>399</v>
      </c>
      <c r="G6" s="33" t="s">
        <v>400</v>
      </c>
    </row>
    <row r="7" spans="1:7">
      <c r="A7" s="9" t="s">
        <v>184</v>
      </c>
      <c r="B7" s="9" t="s">
        <v>401</v>
      </c>
      <c r="C7" s="11">
        <v>472959.87</v>
      </c>
      <c r="D7" s="11">
        <v>511494.91</v>
      </c>
      <c r="E7" s="11">
        <v>428230.62</v>
      </c>
      <c r="F7" s="11">
        <v>470023.72</v>
      </c>
      <c r="G7" s="12">
        <f t="shared" ref="G7:G21" si="0">SUM(C7:F7)</f>
        <v>1882709.1199999999</v>
      </c>
    </row>
    <row r="8" spans="1:7">
      <c r="A8" s="9" t="s">
        <v>184</v>
      </c>
      <c r="B8" s="9" t="s">
        <v>166</v>
      </c>
      <c r="C8" s="11">
        <v>111003.46</v>
      </c>
      <c r="D8" s="11">
        <v>119533.98</v>
      </c>
      <c r="E8" s="11">
        <v>91997.02</v>
      </c>
      <c r="F8" s="11">
        <v>217183.62</v>
      </c>
      <c r="G8" s="12">
        <f t="shared" si="0"/>
        <v>539718.08000000007</v>
      </c>
    </row>
    <row r="9" spans="1:7">
      <c r="A9" s="9" t="s">
        <v>184</v>
      </c>
      <c r="B9" s="9" t="s">
        <v>402</v>
      </c>
      <c r="C9" s="11">
        <v>9940.81</v>
      </c>
      <c r="D9" s="11">
        <v>14443</v>
      </c>
      <c r="E9" s="11">
        <v>12168</v>
      </c>
      <c r="F9" s="11">
        <v>66451.94</v>
      </c>
      <c r="G9" s="12">
        <f t="shared" si="0"/>
        <v>103003.75</v>
      </c>
    </row>
    <row r="10" spans="1:7">
      <c r="A10" s="9" t="s">
        <v>184</v>
      </c>
      <c r="B10" s="9" t="s">
        <v>403</v>
      </c>
      <c r="C10" s="11">
        <v>-61867.81</v>
      </c>
      <c r="D10" s="11">
        <v>-74196.759999999995</v>
      </c>
      <c r="E10" s="11">
        <v>-60943.31</v>
      </c>
      <c r="F10" s="11">
        <v>-44180.61</v>
      </c>
      <c r="G10" s="12">
        <f t="shared" si="0"/>
        <v>-241188.49</v>
      </c>
    </row>
    <row r="11" spans="1:7">
      <c r="A11" s="9" t="s">
        <v>184</v>
      </c>
      <c r="B11" s="9" t="s">
        <v>404</v>
      </c>
      <c r="C11" s="11">
        <v>0</v>
      </c>
      <c r="D11" s="11">
        <v>-11616</v>
      </c>
      <c r="E11" s="11">
        <v>-117039.64</v>
      </c>
      <c r="F11" s="11">
        <v>-71917.98</v>
      </c>
      <c r="G11" s="12">
        <f t="shared" si="0"/>
        <v>-200573.62</v>
      </c>
    </row>
    <row r="12" spans="1:7">
      <c r="A12" s="9" t="s">
        <v>185</v>
      </c>
      <c r="B12" s="9" t="s">
        <v>401</v>
      </c>
      <c r="C12" s="11">
        <v>635446.78</v>
      </c>
      <c r="D12" s="11">
        <v>684069.84</v>
      </c>
      <c r="E12" s="11">
        <v>589795.53</v>
      </c>
      <c r="F12" s="11">
        <v>566148.81999999995</v>
      </c>
      <c r="G12" s="12">
        <f t="shared" si="0"/>
        <v>2475460.9700000002</v>
      </c>
    </row>
    <row r="13" spans="1:7">
      <c r="A13" s="9" t="s">
        <v>185</v>
      </c>
      <c r="B13" s="9" t="s">
        <v>166</v>
      </c>
      <c r="C13" s="11">
        <v>112430.95</v>
      </c>
      <c r="D13" s="11">
        <v>225412.25</v>
      </c>
      <c r="E13" s="11">
        <v>233316.22</v>
      </c>
      <c r="F13" s="11">
        <v>242316.5</v>
      </c>
      <c r="G13" s="12">
        <f t="shared" si="0"/>
        <v>813475.92</v>
      </c>
    </row>
    <row r="14" spans="1:7">
      <c r="A14" s="9" t="s">
        <v>185</v>
      </c>
      <c r="B14" s="9" t="s">
        <v>402</v>
      </c>
      <c r="C14" s="11">
        <v>11546.91</v>
      </c>
      <c r="D14" s="11">
        <v>38579.550000000003</v>
      </c>
      <c r="E14" s="11">
        <v>52633.02</v>
      </c>
      <c r="F14" s="11">
        <v>28019.65</v>
      </c>
      <c r="G14" s="12">
        <f t="shared" si="0"/>
        <v>130779.13</v>
      </c>
    </row>
    <row r="15" spans="1:7">
      <c r="A15" s="9" t="s">
        <v>185</v>
      </c>
      <c r="B15" s="9" t="s">
        <v>403</v>
      </c>
      <c r="C15" s="11">
        <v>-8427.9699999999993</v>
      </c>
      <c r="D15" s="11">
        <v>-89448.34</v>
      </c>
      <c r="E15" s="11">
        <v>-19294.79</v>
      </c>
      <c r="F15" s="11">
        <v>-111731.42</v>
      </c>
      <c r="G15" s="12">
        <f t="shared" si="0"/>
        <v>-228902.52000000002</v>
      </c>
    </row>
    <row r="16" spans="1:7">
      <c r="A16" s="9" t="s">
        <v>185</v>
      </c>
      <c r="B16" s="9" t="s">
        <v>404</v>
      </c>
      <c r="C16" s="11">
        <v>-102297.17</v>
      </c>
      <c r="D16" s="11">
        <v>-95107.46</v>
      </c>
      <c r="E16" s="11">
        <v>-90703.91</v>
      </c>
      <c r="F16" s="11">
        <v>-67539.77</v>
      </c>
      <c r="G16" s="12">
        <f t="shared" si="0"/>
        <v>-355648.31000000006</v>
      </c>
    </row>
    <row r="17" spans="1:8">
      <c r="A17" s="9" t="s">
        <v>186</v>
      </c>
      <c r="B17" s="9" t="s">
        <v>401</v>
      </c>
      <c r="C17" s="11">
        <v>1163052.6599999999</v>
      </c>
      <c r="D17" s="11">
        <v>1116246.49</v>
      </c>
      <c r="E17" s="11">
        <v>1049280.56</v>
      </c>
      <c r="F17" s="11">
        <v>903993.62</v>
      </c>
      <c r="G17" s="12">
        <f t="shared" si="0"/>
        <v>4232573.33</v>
      </c>
    </row>
    <row r="18" spans="1:8">
      <c r="A18" s="9" t="s">
        <v>186</v>
      </c>
      <c r="B18" s="9" t="s">
        <v>166</v>
      </c>
      <c r="C18" s="11">
        <v>276867.53999999998</v>
      </c>
      <c r="D18" s="11">
        <v>275016.03999999998</v>
      </c>
      <c r="E18" s="11">
        <v>396024.62</v>
      </c>
      <c r="F18" s="11">
        <v>435374.71</v>
      </c>
      <c r="G18" s="12">
        <f t="shared" si="0"/>
        <v>1383282.91</v>
      </c>
    </row>
    <row r="19" spans="1:8">
      <c r="A19" s="9" t="s">
        <v>186</v>
      </c>
      <c r="B19" s="9" t="s">
        <v>402</v>
      </c>
      <c r="C19" s="11">
        <v>0</v>
      </c>
      <c r="D19" s="11">
        <v>75194.67</v>
      </c>
      <c r="E19" s="11">
        <v>76536.789999999994</v>
      </c>
      <c r="F19" s="11">
        <v>113258.36</v>
      </c>
      <c r="G19" s="12">
        <f t="shared" si="0"/>
        <v>264989.82</v>
      </c>
    </row>
    <row r="20" spans="1:8">
      <c r="A20" s="9" t="s">
        <v>186</v>
      </c>
      <c r="B20" s="9" t="s">
        <v>403</v>
      </c>
      <c r="C20" s="11">
        <v>-33732.82</v>
      </c>
      <c r="D20" s="11">
        <v>-155606.73000000001</v>
      </c>
      <c r="E20" s="11">
        <v>-131487.89000000001</v>
      </c>
      <c r="F20" s="11">
        <v>-147207.22</v>
      </c>
      <c r="G20" s="12">
        <f t="shared" si="0"/>
        <v>-468034.66000000003</v>
      </c>
    </row>
    <row r="21" spans="1:8">
      <c r="A21" s="9" t="s">
        <v>186</v>
      </c>
      <c r="B21" s="9" t="s">
        <v>404</v>
      </c>
      <c r="C21" s="11">
        <v>-216341.66</v>
      </c>
      <c r="D21" s="11">
        <v>-191705.44</v>
      </c>
      <c r="E21" s="11">
        <v>-170628.26</v>
      </c>
      <c r="F21" s="11">
        <v>-161904.64000000001</v>
      </c>
      <c r="G21" s="12">
        <f t="shared" si="0"/>
        <v>-740580</v>
      </c>
    </row>
    <row r="24" spans="1:8" ht="78.75">
      <c r="A24" s="25" t="s">
        <v>405</v>
      </c>
    </row>
    <row r="25" spans="1:8" ht="30" customHeight="1">
      <c r="A25" s="33" t="s">
        <v>394</v>
      </c>
      <c r="B25" s="33" t="s">
        <v>395</v>
      </c>
      <c r="C25" s="33" t="s">
        <v>396</v>
      </c>
      <c r="D25" s="33" t="s">
        <v>397</v>
      </c>
      <c r="E25" s="33" t="s">
        <v>398</v>
      </c>
      <c r="F25" s="33" t="s">
        <v>399</v>
      </c>
      <c r="G25" s="33" t="s">
        <v>400</v>
      </c>
      <c r="H25" s="33" t="s">
        <v>406</v>
      </c>
    </row>
    <row r="26" spans="1:8">
      <c r="A26" s="9" t="s">
        <v>274</v>
      </c>
      <c r="B26" s="9" t="s">
        <v>401</v>
      </c>
      <c r="C26" s="11">
        <v>471575.92</v>
      </c>
      <c r="D26" s="11">
        <v>456380.27</v>
      </c>
      <c r="E26" s="11">
        <v>427375.15</v>
      </c>
      <c r="F26" s="11">
        <v>420414.1</v>
      </c>
      <c r="G26" s="12">
        <f t="shared" ref="G26:G57" si="1">SUM(C26:F26)</f>
        <v>1775745.44</v>
      </c>
      <c r="H26" s="23" t="s">
        <v>274</v>
      </c>
    </row>
    <row r="27" spans="1:8">
      <c r="A27" s="9" t="s">
        <v>274</v>
      </c>
      <c r="B27" s="9" t="s">
        <v>166</v>
      </c>
      <c r="C27" s="11">
        <v>113569.27</v>
      </c>
      <c r="D27" s="11">
        <v>120047.78</v>
      </c>
      <c r="E27" s="11">
        <v>119629.3</v>
      </c>
      <c r="F27" s="11">
        <v>134156.03</v>
      </c>
      <c r="G27" s="12">
        <f t="shared" si="1"/>
        <v>487402.38</v>
      </c>
      <c r="H27" s="23" t="s">
        <v>274</v>
      </c>
    </row>
    <row r="28" spans="1:8">
      <c r="A28" s="9" t="s">
        <v>274</v>
      </c>
      <c r="B28" s="9" t="s">
        <v>402</v>
      </c>
      <c r="C28" s="11">
        <v>0</v>
      </c>
      <c r="D28" s="11">
        <v>14443</v>
      </c>
      <c r="E28" s="11">
        <v>12168</v>
      </c>
      <c r="F28" s="11">
        <v>29834</v>
      </c>
      <c r="G28" s="12">
        <f t="shared" si="1"/>
        <v>56445</v>
      </c>
      <c r="H28" s="23" t="s">
        <v>274</v>
      </c>
    </row>
    <row r="29" spans="1:8">
      <c r="A29" s="9" t="s">
        <v>274</v>
      </c>
      <c r="B29" s="9" t="s">
        <v>403</v>
      </c>
      <c r="C29" s="11">
        <v>-17247</v>
      </c>
      <c r="D29" s="11">
        <v>-65218</v>
      </c>
      <c r="E29" s="11">
        <v>-41479.93</v>
      </c>
      <c r="F29" s="11">
        <v>-39761.040000000001</v>
      </c>
      <c r="G29" s="12">
        <f t="shared" si="1"/>
        <v>-163705.97</v>
      </c>
      <c r="H29" s="23" t="s">
        <v>274</v>
      </c>
    </row>
    <row r="30" spans="1:8">
      <c r="A30" s="9" t="s">
        <v>274</v>
      </c>
      <c r="B30" s="9" t="s">
        <v>404</v>
      </c>
      <c r="C30" s="11">
        <v>-27751</v>
      </c>
      <c r="D30" s="11">
        <v>-46405</v>
      </c>
      <c r="E30" s="11">
        <v>-149711.21</v>
      </c>
      <c r="F30" s="11">
        <v>-39522</v>
      </c>
      <c r="G30" s="12">
        <f t="shared" si="1"/>
        <v>-263389.20999999996</v>
      </c>
      <c r="H30" s="23" t="s">
        <v>274</v>
      </c>
    </row>
    <row r="31" spans="1:8">
      <c r="A31" s="9" t="s">
        <v>338</v>
      </c>
      <c r="B31" s="9" t="s">
        <v>401</v>
      </c>
      <c r="C31" s="11">
        <v>505988</v>
      </c>
      <c r="D31" s="11">
        <v>537366.42000000004</v>
      </c>
      <c r="E31" s="11">
        <v>566887.75</v>
      </c>
      <c r="F31" s="11">
        <v>464798.04</v>
      </c>
      <c r="G31" s="12">
        <f t="shared" si="1"/>
        <v>2075040.21</v>
      </c>
      <c r="H31" s="23" t="s">
        <v>275</v>
      </c>
    </row>
    <row r="32" spans="1:8">
      <c r="A32" s="9" t="s">
        <v>338</v>
      </c>
      <c r="B32" s="9" t="s">
        <v>166</v>
      </c>
      <c r="C32" s="11">
        <v>91163.31</v>
      </c>
      <c r="D32" s="11">
        <v>126200.9</v>
      </c>
      <c r="E32" s="11">
        <v>121022.64</v>
      </c>
      <c r="F32" s="11">
        <v>311652.96999999997</v>
      </c>
      <c r="G32" s="12">
        <f t="shared" si="1"/>
        <v>650039.81999999995</v>
      </c>
      <c r="H32" s="23" t="s">
        <v>275</v>
      </c>
    </row>
    <row r="33" spans="1:8">
      <c r="A33" s="9" t="s">
        <v>338</v>
      </c>
      <c r="B33" s="9" t="s">
        <v>402</v>
      </c>
      <c r="C33" s="11">
        <v>0</v>
      </c>
      <c r="D33" s="11">
        <v>21940.12</v>
      </c>
      <c r="E33" s="11">
        <v>56224.28</v>
      </c>
      <c r="F33" s="11">
        <v>40143.9</v>
      </c>
      <c r="G33" s="12">
        <f t="shared" si="1"/>
        <v>118308.29999999999</v>
      </c>
      <c r="H33" s="23" t="s">
        <v>275</v>
      </c>
    </row>
    <row r="34" spans="1:8">
      <c r="A34" s="9" t="s">
        <v>338</v>
      </c>
      <c r="B34" s="9" t="s">
        <v>403</v>
      </c>
      <c r="C34" s="11">
        <v>-40084.79</v>
      </c>
      <c r="D34" s="11">
        <v>-53589.86</v>
      </c>
      <c r="E34" s="11">
        <v>-53287.48</v>
      </c>
      <c r="F34" s="11">
        <v>-79221.48</v>
      </c>
      <c r="G34" s="12">
        <f t="shared" si="1"/>
        <v>-226183.61</v>
      </c>
      <c r="H34" s="23" t="s">
        <v>275</v>
      </c>
    </row>
    <row r="35" spans="1:8">
      <c r="A35" s="9" t="s">
        <v>338</v>
      </c>
      <c r="B35" s="9" t="s">
        <v>404</v>
      </c>
      <c r="C35" s="11">
        <v>-66338.600000000006</v>
      </c>
      <c r="D35" s="11">
        <v>-97814.64</v>
      </c>
      <c r="E35" s="11">
        <v>-32235.07</v>
      </c>
      <c r="F35" s="11">
        <v>-70847.03</v>
      </c>
      <c r="G35" s="12">
        <f t="shared" si="1"/>
        <v>-267235.33999999997</v>
      </c>
      <c r="H35" s="23" t="s">
        <v>275</v>
      </c>
    </row>
    <row r="36" spans="1:8">
      <c r="A36" s="9" t="s">
        <v>339</v>
      </c>
      <c r="B36" s="9" t="s">
        <v>401</v>
      </c>
      <c r="C36" s="11">
        <v>402868.8</v>
      </c>
      <c r="D36" s="11">
        <v>454303.88</v>
      </c>
      <c r="E36" s="11">
        <v>268865.43</v>
      </c>
      <c r="F36" s="11">
        <v>302968.86</v>
      </c>
      <c r="G36" s="12">
        <f t="shared" si="1"/>
        <v>1429006.9699999997</v>
      </c>
      <c r="H36" s="23" t="s">
        <v>276</v>
      </c>
    </row>
    <row r="37" spans="1:8">
      <c r="A37" s="9" t="s">
        <v>339</v>
      </c>
      <c r="B37" s="9" t="s">
        <v>166</v>
      </c>
      <c r="C37" s="11">
        <v>103643.67</v>
      </c>
      <c r="D37" s="11">
        <v>116837.23</v>
      </c>
      <c r="E37" s="11">
        <v>130646.68</v>
      </c>
      <c r="F37" s="11">
        <v>134213.15</v>
      </c>
      <c r="G37" s="12">
        <f t="shared" si="1"/>
        <v>485340.73</v>
      </c>
      <c r="H37" s="23" t="s">
        <v>276</v>
      </c>
    </row>
    <row r="38" spans="1:8">
      <c r="A38" s="9" t="s">
        <v>339</v>
      </c>
      <c r="B38" s="9" t="s">
        <v>402</v>
      </c>
      <c r="C38" s="11">
        <v>9940.81</v>
      </c>
      <c r="D38" s="11">
        <v>26329.759999999998</v>
      </c>
      <c r="E38" s="11">
        <v>12820.71</v>
      </c>
      <c r="F38" s="11">
        <v>64996.49</v>
      </c>
      <c r="G38" s="12">
        <f t="shared" si="1"/>
        <v>114087.76999999999</v>
      </c>
      <c r="H38" s="23" t="s">
        <v>276</v>
      </c>
    </row>
    <row r="39" spans="1:8">
      <c r="A39" s="9" t="s">
        <v>339</v>
      </c>
      <c r="B39" s="9" t="s">
        <v>403</v>
      </c>
      <c r="C39" s="11">
        <v>0</v>
      </c>
      <c r="D39" s="11">
        <v>-59691.51</v>
      </c>
      <c r="E39" s="11">
        <v>-28371.13</v>
      </c>
      <c r="F39" s="11">
        <v>-45599.18</v>
      </c>
      <c r="G39" s="12">
        <f t="shared" si="1"/>
        <v>-133661.82</v>
      </c>
      <c r="H39" s="23" t="s">
        <v>276</v>
      </c>
    </row>
    <row r="40" spans="1:8">
      <c r="A40" s="9" t="s">
        <v>339</v>
      </c>
      <c r="B40" s="9" t="s">
        <v>404</v>
      </c>
      <c r="C40" s="11">
        <v>-120628.32</v>
      </c>
      <c r="D40" s="11">
        <v>-77281.59</v>
      </c>
      <c r="E40" s="11">
        <v>-70349.7</v>
      </c>
      <c r="F40" s="11">
        <v>-44891.64</v>
      </c>
      <c r="G40" s="12">
        <f t="shared" si="1"/>
        <v>-313151.25</v>
      </c>
      <c r="H40" s="23" t="s">
        <v>276</v>
      </c>
    </row>
    <row r="41" spans="1:8">
      <c r="A41" s="9" t="s">
        <v>340</v>
      </c>
      <c r="B41" s="9" t="s">
        <v>401</v>
      </c>
      <c r="C41" s="11">
        <v>133029</v>
      </c>
      <c r="D41" s="11">
        <v>152972</v>
      </c>
      <c r="E41" s="11">
        <v>160523.32999999999</v>
      </c>
      <c r="F41" s="11">
        <v>130604</v>
      </c>
      <c r="G41" s="12">
        <f t="shared" si="1"/>
        <v>577128.32999999996</v>
      </c>
      <c r="H41" s="23" t="s">
        <v>277</v>
      </c>
    </row>
    <row r="42" spans="1:8">
      <c r="A42" s="9" t="s">
        <v>340</v>
      </c>
      <c r="B42" s="9" t="s">
        <v>166</v>
      </c>
      <c r="C42" s="11">
        <v>62330.18</v>
      </c>
      <c r="D42" s="11">
        <v>58911.1</v>
      </c>
      <c r="E42" s="11">
        <v>147044.28</v>
      </c>
      <c r="F42" s="11">
        <v>124063.32</v>
      </c>
      <c r="G42" s="12">
        <f t="shared" si="1"/>
        <v>392348.88</v>
      </c>
      <c r="H42" s="23" t="s">
        <v>277</v>
      </c>
    </row>
    <row r="43" spans="1:8">
      <c r="A43" s="9" t="s">
        <v>340</v>
      </c>
      <c r="B43" s="9" t="s">
        <v>402</v>
      </c>
      <c r="C43" s="11">
        <v>0</v>
      </c>
      <c r="D43" s="11">
        <v>38004</v>
      </c>
      <c r="E43" s="11">
        <v>0</v>
      </c>
      <c r="F43" s="11">
        <v>0</v>
      </c>
      <c r="G43" s="12">
        <f t="shared" si="1"/>
        <v>38004</v>
      </c>
      <c r="H43" s="23" t="s">
        <v>277</v>
      </c>
    </row>
    <row r="44" spans="1:8">
      <c r="A44" s="9" t="s">
        <v>340</v>
      </c>
      <c r="B44" s="9" t="s">
        <v>403</v>
      </c>
      <c r="C44" s="11">
        <v>-8419</v>
      </c>
      <c r="D44" s="11">
        <v>-60926.879999999997</v>
      </c>
      <c r="E44" s="11">
        <v>-17893</v>
      </c>
      <c r="F44" s="11">
        <v>-35210</v>
      </c>
      <c r="G44" s="12">
        <f t="shared" si="1"/>
        <v>-122448.88</v>
      </c>
      <c r="H44" s="23" t="s">
        <v>277</v>
      </c>
    </row>
    <row r="45" spans="1:8">
      <c r="A45" s="9" t="s">
        <v>340</v>
      </c>
      <c r="B45" s="9" t="s">
        <v>404</v>
      </c>
      <c r="C45" s="11">
        <v>-48997</v>
      </c>
      <c r="D45" s="11">
        <v>0</v>
      </c>
      <c r="E45" s="11">
        <v>0</v>
      </c>
      <c r="F45" s="11">
        <v>-38912.25</v>
      </c>
      <c r="G45" s="12">
        <f t="shared" si="1"/>
        <v>-87909.25</v>
      </c>
      <c r="H45" s="23" t="s">
        <v>277</v>
      </c>
    </row>
    <row r="46" spans="1:8">
      <c r="A46" s="9" t="s">
        <v>341</v>
      </c>
      <c r="B46" s="9" t="s">
        <v>401</v>
      </c>
      <c r="C46" s="11">
        <v>158351.76</v>
      </c>
      <c r="D46" s="11">
        <v>169980.21</v>
      </c>
      <c r="E46" s="11">
        <v>105979.36</v>
      </c>
      <c r="F46" s="11">
        <v>58032</v>
      </c>
      <c r="G46" s="12">
        <f t="shared" si="1"/>
        <v>492343.32999999996</v>
      </c>
      <c r="H46" s="23" t="s">
        <v>331</v>
      </c>
    </row>
    <row r="47" spans="1:8">
      <c r="A47" s="9" t="s">
        <v>341</v>
      </c>
      <c r="B47" s="9" t="s">
        <v>166</v>
      </c>
      <c r="C47" s="11">
        <v>9745.8799999999992</v>
      </c>
      <c r="D47" s="11">
        <v>46841.89</v>
      </c>
      <c r="E47" s="11">
        <v>48882.51</v>
      </c>
      <c r="F47" s="11">
        <v>76436.87</v>
      </c>
      <c r="G47" s="12">
        <f t="shared" si="1"/>
        <v>181907.15</v>
      </c>
      <c r="H47" s="23" t="s">
        <v>331</v>
      </c>
    </row>
    <row r="48" spans="1:8">
      <c r="A48" s="9" t="s">
        <v>341</v>
      </c>
      <c r="B48" s="9" t="s">
        <v>402</v>
      </c>
      <c r="C48" s="11">
        <v>0</v>
      </c>
      <c r="D48" s="11">
        <v>0</v>
      </c>
      <c r="E48" s="11">
        <v>0</v>
      </c>
      <c r="F48" s="11">
        <v>22452</v>
      </c>
      <c r="G48" s="12">
        <f t="shared" si="1"/>
        <v>22452</v>
      </c>
      <c r="H48" s="23" t="s">
        <v>331</v>
      </c>
    </row>
    <row r="49" spans="1:8">
      <c r="A49" s="9" t="s">
        <v>341</v>
      </c>
      <c r="B49" s="9" t="s">
        <v>403</v>
      </c>
      <c r="C49" s="11">
        <v>0</v>
      </c>
      <c r="D49" s="11">
        <v>-22142</v>
      </c>
      <c r="E49" s="11">
        <v>-18036.13</v>
      </c>
      <c r="F49" s="11">
        <v>0</v>
      </c>
      <c r="G49" s="12">
        <f t="shared" si="1"/>
        <v>-40178.130000000005</v>
      </c>
      <c r="H49" s="23" t="s">
        <v>331</v>
      </c>
    </row>
    <row r="50" spans="1:8">
      <c r="A50" s="9" t="s">
        <v>341</v>
      </c>
      <c r="B50" s="9" t="s">
        <v>404</v>
      </c>
      <c r="C50" s="11">
        <v>0</v>
      </c>
      <c r="D50" s="11">
        <v>0</v>
      </c>
      <c r="E50" s="11">
        <v>-38370</v>
      </c>
      <c r="F50" s="11">
        <v>-13688</v>
      </c>
      <c r="G50" s="12">
        <f t="shared" si="1"/>
        <v>-52058</v>
      </c>
      <c r="H50" s="23" t="s">
        <v>331</v>
      </c>
    </row>
    <row r="51" spans="1:8">
      <c r="A51" s="9" t="s">
        <v>342</v>
      </c>
      <c r="B51" s="9" t="s">
        <v>401</v>
      </c>
      <c r="C51" s="11">
        <v>169620.71</v>
      </c>
      <c r="D51" s="11">
        <v>100328</v>
      </c>
      <c r="E51" s="11">
        <v>12400</v>
      </c>
      <c r="F51" s="11">
        <v>94875</v>
      </c>
      <c r="G51" s="12">
        <f t="shared" si="1"/>
        <v>377223.70999999996</v>
      </c>
      <c r="H51" s="23" t="s">
        <v>331</v>
      </c>
    </row>
    <row r="52" spans="1:8">
      <c r="A52" s="9" t="s">
        <v>342</v>
      </c>
      <c r="B52" s="9" t="s">
        <v>166</v>
      </c>
      <c r="C52" s="11">
        <v>22898.04</v>
      </c>
      <c r="D52" s="11">
        <v>71168.86</v>
      </c>
      <c r="E52" s="11">
        <v>33436.9</v>
      </c>
      <c r="F52" s="11">
        <v>14171.9</v>
      </c>
      <c r="G52" s="12">
        <f t="shared" si="1"/>
        <v>141675.69999999998</v>
      </c>
      <c r="H52" s="23" t="s">
        <v>331</v>
      </c>
    </row>
    <row r="53" spans="1:8">
      <c r="A53" s="9" t="s">
        <v>342</v>
      </c>
      <c r="B53" s="9" t="s">
        <v>402</v>
      </c>
      <c r="C53" s="11">
        <v>0</v>
      </c>
      <c r="D53" s="11">
        <v>14292</v>
      </c>
      <c r="E53" s="11">
        <v>24016</v>
      </c>
      <c r="F53" s="11">
        <v>9924</v>
      </c>
      <c r="G53" s="12">
        <f t="shared" si="1"/>
        <v>48232</v>
      </c>
      <c r="H53" s="23" t="s">
        <v>331</v>
      </c>
    </row>
    <row r="54" spans="1:8">
      <c r="A54" s="9" t="s">
        <v>342</v>
      </c>
      <c r="B54" s="9" t="s">
        <v>403</v>
      </c>
      <c r="C54" s="11">
        <v>-21792</v>
      </c>
      <c r="D54" s="11">
        <v>-8645</v>
      </c>
      <c r="E54" s="11">
        <v>-19674.79</v>
      </c>
      <c r="F54" s="11">
        <v>-18439</v>
      </c>
      <c r="G54" s="12">
        <f t="shared" si="1"/>
        <v>-68550.790000000008</v>
      </c>
      <c r="H54" s="23" t="s">
        <v>331</v>
      </c>
    </row>
    <row r="55" spans="1:8">
      <c r="A55" s="9" t="s">
        <v>342</v>
      </c>
      <c r="B55" s="9" t="s">
        <v>404</v>
      </c>
      <c r="C55" s="11">
        <v>-13620</v>
      </c>
      <c r="D55" s="11">
        <v>-23320</v>
      </c>
      <c r="E55" s="11">
        <v>-18944</v>
      </c>
      <c r="F55" s="11">
        <v>-9197</v>
      </c>
      <c r="G55" s="12">
        <f t="shared" si="1"/>
        <v>-65081</v>
      </c>
      <c r="H55" s="23" t="s">
        <v>331</v>
      </c>
    </row>
    <row r="56" spans="1:8">
      <c r="A56" s="9" t="s">
        <v>343</v>
      </c>
      <c r="B56" s="9" t="s">
        <v>401</v>
      </c>
      <c r="C56" s="11">
        <v>82240</v>
      </c>
      <c r="D56" s="11">
        <v>69239</v>
      </c>
      <c r="E56" s="11">
        <v>63507</v>
      </c>
      <c r="F56" s="11">
        <v>107949.49</v>
      </c>
      <c r="G56" s="12">
        <f t="shared" si="1"/>
        <v>322935.49</v>
      </c>
      <c r="H56" s="23" t="s">
        <v>331</v>
      </c>
    </row>
    <row r="57" spans="1:8">
      <c r="A57" s="9" t="s">
        <v>343</v>
      </c>
      <c r="B57" s="9" t="s">
        <v>166</v>
      </c>
      <c r="C57" s="11">
        <v>54853</v>
      </c>
      <c r="D57" s="11">
        <v>21712</v>
      </c>
      <c r="E57" s="11">
        <v>17515</v>
      </c>
      <c r="F57" s="11">
        <v>7209</v>
      </c>
      <c r="G57" s="12">
        <f t="shared" si="1"/>
        <v>101289</v>
      </c>
      <c r="H57" s="23" t="s">
        <v>331</v>
      </c>
    </row>
    <row r="58" spans="1:8">
      <c r="A58" s="9" t="s">
        <v>343</v>
      </c>
      <c r="B58" s="9" t="s">
        <v>402</v>
      </c>
      <c r="C58" s="11">
        <v>0</v>
      </c>
      <c r="D58" s="11">
        <v>0</v>
      </c>
      <c r="E58" s="11">
        <v>0</v>
      </c>
      <c r="F58" s="11">
        <v>0</v>
      </c>
      <c r="G58" s="12">
        <f t="shared" ref="G58:G89" si="2">SUM(C58:F58)</f>
        <v>0</v>
      </c>
      <c r="H58" s="23" t="s">
        <v>331</v>
      </c>
    </row>
    <row r="59" spans="1:8">
      <c r="A59" s="9" t="s">
        <v>343</v>
      </c>
      <c r="B59" s="9" t="s">
        <v>403</v>
      </c>
      <c r="C59" s="11">
        <v>0</v>
      </c>
      <c r="D59" s="11">
        <v>-14837</v>
      </c>
      <c r="E59" s="11">
        <v>-14044</v>
      </c>
      <c r="F59" s="11">
        <v>-9218</v>
      </c>
      <c r="G59" s="12">
        <f t="shared" si="2"/>
        <v>-38099</v>
      </c>
      <c r="H59" s="23" t="s">
        <v>331</v>
      </c>
    </row>
    <row r="60" spans="1:8">
      <c r="A60" s="9" t="s">
        <v>343</v>
      </c>
      <c r="B60" s="9" t="s">
        <v>404</v>
      </c>
      <c r="C60" s="11">
        <v>-21244</v>
      </c>
      <c r="D60" s="11">
        <v>0</v>
      </c>
      <c r="E60" s="11">
        <v>-13408</v>
      </c>
      <c r="F60" s="11">
        <v>0</v>
      </c>
      <c r="G60" s="12">
        <f t="shared" si="2"/>
        <v>-34652</v>
      </c>
      <c r="H60" s="23" t="s">
        <v>331</v>
      </c>
    </row>
    <row r="61" spans="1:8">
      <c r="A61" s="9" t="s">
        <v>344</v>
      </c>
      <c r="B61" s="9" t="s">
        <v>401</v>
      </c>
      <c r="C61" s="11">
        <v>41811</v>
      </c>
      <c r="D61" s="11">
        <v>19245</v>
      </c>
      <c r="E61" s="11">
        <v>37001</v>
      </c>
      <c r="F61" s="11">
        <v>10027</v>
      </c>
      <c r="G61" s="12">
        <f t="shared" si="2"/>
        <v>108084</v>
      </c>
      <c r="H61" s="23" t="s">
        <v>331</v>
      </c>
    </row>
    <row r="62" spans="1:8">
      <c r="A62" s="9" t="s">
        <v>344</v>
      </c>
      <c r="B62" s="9" t="s">
        <v>166</v>
      </c>
      <c r="C62" s="11">
        <v>4068</v>
      </c>
      <c r="D62" s="11">
        <v>7401</v>
      </c>
      <c r="E62" s="11">
        <v>6208</v>
      </c>
      <c r="F62" s="11">
        <v>1575</v>
      </c>
      <c r="G62" s="12">
        <f t="shared" si="2"/>
        <v>19252</v>
      </c>
      <c r="H62" s="23" t="s">
        <v>331</v>
      </c>
    </row>
    <row r="63" spans="1:8">
      <c r="A63" s="9" t="s">
        <v>344</v>
      </c>
      <c r="B63" s="9" t="s">
        <v>402</v>
      </c>
      <c r="C63" s="11">
        <v>0</v>
      </c>
      <c r="D63" s="11">
        <v>0</v>
      </c>
      <c r="E63" s="11">
        <v>0</v>
      </c>
      <c r="F63" s="11">
        <v>0</v>
      </c>
      <c r="G63" s="12">
        <f t="shared" si="2"/>
        <v>0</v>
      </c>
      <c r="H63" s="23" t="s">
        <v>331</v>
      </c>
    </row>
    <row r="64" spans="1:8">
      <c r="A64" s="9" t="s">
        <v>344</v>
      </c>
      <c r="B64" s="9" t="s">
        <v>403</v>
      </c>
      <c r="C64" s="11">
        <v>-8547</v>
      </c>
      <c r="D64" s="11">
        <v>-22948</v>
      </c>
      <c r="E64" s="11">
        <v>0</v>
      </c>
      <c r="F64" s="11">
        <v>0</v>
      </c>
      <c r="G64" s="12">
        <f t="shared" si="2"/>
        <v>-31495</v>
      </c>
      <c r="H64" s="23" t="s">
        <v>331</v>
      </c>
    </row>
    <row r="65" spans="1:8">
      <c r="A65" s="9" t="s">
        <v>344</v>
      </c>
      <c r="B65" s="9" t="s">
        <v>404</v>
      </c>
      <c r="C65" s="11">
        <v>0</v>
      </c>
      <c r="D65" s="11">
        <v>0</v>
      </c>
      <c r="E65" s="11">
        <v>-13397</v>
      </c>
      <c r="F65" s="11">
        <v>0</v>
      </c>
      <c r="G65" s="12">
        <f t="shared" si="2"/>
        <v>-13397</v>
      </c>
      <c r="H65" s="23" t="s">
        <v>331</v>
      </c>
    </row>
    <row r="66" spans="1:8">
      <c r="A66" s="9" t="s">
        <v>345</v>
      </c>
      <c r="B66" s="9" t="s">
        <v>401</v>
      </c>
      <c r="C66" s="11">
        <v>76466.34</v>
      </c>
      <c r="D66" s="11">
        <v>142502.39999999999</v>
      </c>
      <c r="E66" s="11">
        <v>268171.5</v>
      </c>
      <c r="F66" s="11">
        <v>174061.57</v>
      </c>
      <c r="G66" s="12">
        <f t="shared" si="2"/>
        <v>661201.81000000006</v>
      </c>
      <c r="H66" s="23" t="s">
        <v>332</v>
      </c>
    </row>
    <row r="67" spans="1:8">
      <c r="A67" s="9" t="s">
        <v>345</v>
      </c>
      <c r="B67" s="9" t="s">
        <v>166</v>
      </c>
      <c r="C67" s="11">
        <v>24705.9</v>
      </c>
      <c r="D67" s="11">
        <v>21758.97</v>
      </c>
      <c r="E67" s="11">
        <v>41903.730000000003</v>
      </c>
      <c r="F67" s="11">
        <v>28683.3</v>
      </c>
      <c r="G67" s="12">
        <f t="shared" si="2"/>
        <v>117051.90000000001</v>
      </c>
      <c r="H67" s="23" t="s">
        <v>332</v>
      </c>
    </row>
    <row r="68" spans="1:8">
      <c r="A68" s="9" t="s">
        <v>345</v>
      </c>
      <c r="B68" s="9" t="s">
        <v>402</v>
      </c>
      <c r="C68" s="11">
        <v>11546.91</v>
      </c>
      <c r="D68" s="11">
        <v>0</v>
      </c>
      <c r="E68" s="11">
        <v>0</v>
      </c>
      <c r="F68" s="11">
        <v>12359.9</v>
      </c>
      <c r="G68" s="12">
        <f t="shared" si="2"/>
        <v>23906.809999999998</v>
      </c>
      <c r="H68" s="23" t="s">
        <v>332</v>
      </c>
    </row>
    <row r="69" spans="1:8">
      <c r="A69" s="9" t="s">
        <v>345</v>
      </c>
      <c r="B69" s="9" t="s">
        <v>403</v>
      </c>
      <c r="C69" s="11">
        <v>0</v>
      </c>
      <c r="D69" s="11">
        <v>-11253.59</v>
      </c>
      <c r="E69" s="11">
        <v>-5628.4</v>
      </c>
      <c r="F69" s="11">
        <v>-42893.64</v>
      </c>
      <c r="G69" s="12">
        <f t="shared" si="2"/>
        <v>-59775.63</v>
      </c>
      <c r="H69" s="23" t="s">
        <v>332</v>
      </c>
    </row>
    <row r="70" spans="1:8">
      <c r="A70" s="9" t="s">
        <v>345</v>
      </c>
      <c r="B70" s="9" t="s">
        <v>404</v>
      </c>
      <c r="C70" s="11">
        <v>0</v>
      </c>
      <c r="D70" s="11">
        <v>0</v>
      </c>
      <c r="E70" s="11">
        <v>-20492.259999999998</v>
      </c>
      <c r="F70" s="11">
        <v>-45023.01</v>
      </c>
      <c r="G70" s="12">
        <f t="shared" si="2"/>
        <v>-65515.270000000004</v>
      </c>
      <c r="H70" s="23" t="s">
        <v>332</v>
      </c>
    </row>
    <row r="71" spans="1:8">
      <c r="A71" s="9" t="s">
        <v>346</v>
      </c>
      <c r="B71" s="9" t="s">
        <v>401</v>
      </c>
      <c r="C71" s="11">
        <v>112174.64</v>
      </c>
      <c r="D71" s="11">
        <v>90101.31</v>
      </c>
      <c r="E71" s="11">
        <v>111145.85</v>
      </c>
      <c r="F71" s="11">
        <v>89352.43</v>
      </c>
      <c r="G71" s="12">
        <f t="shared" si="2"/>
        <v>402774.23000000004</v>
      </c>
      <c r="H71" s="23" t="s">
        <v>332</v>
      </c>
    </row>
    <row r="72" spans="1:8">
      <c r="A72" s="9" t="s">
        <v>346</v>
      </c>
      <c r="B72" s="9" t="s">
        <v>166</v>
      </c>
      <c r="C72" s="11">
        <v>6656.56</v>
      </c>
      <c r="D72" s="11">
        <v>18679.060000000001</v>
      </c>
      <c r="E72" s="11">
        <v>38008.620000000003</v>
      </c>
      <c r="F72" s="11">
        <v>21804.93</v>
      </c>
      <c r="G72" s="12">
        <f t="shared" si="2"/>
        <v>85149.170000000013</v>
      </c>
      <c r="H72" s="23" t="s">
        <v>332</v>
      </c>
    </row>
    <row r="73" spans="1:8">
      <c r="A73" s="9" t="s">
        <v>346</v>
      </c>
      <c r="B73" s="9" t="s">
        <v>402</v>
      </c>
      <c r="C73" s="11">
        <v>0</v>
      </c>
      <c r="D73" s="11">
        <v>13208.34</v>
      </c>
      <c r="E73" s="11">
        <v>11446.58</v>
      </c>
      <c r="F73" s="11">
        <v>15229.25</v>
      </c>
      <c r="G73" s="12">
        <f t="shared" si="2"/>
        <v>39884.17</v>
      </c>
      <c r="H73" s="23" t="s">
        <v>332</v>
      </c>
    </row>
    <row r="74" spans="1:8">
      <c r="A74" s="9" t="s">
        <v>346</v>
      </c>
      <c r="B74" s="9" t="s">
        <v>403</v>
      </c>
      <c r="C74" s="11">
        <v>0</v>
      </c>
      <c r="D74" s="11">
        <v>0</v>
      </c>
      <c r="E74" s="11">
        <v>-13311.12</v>
      </c>
      <c r="F74" s="11">
        <v>-32776.910000000003</v>
      </c>
      <c r="G74" s="12">
        <f t="shared" si="2"/>
        <v>-46088.030000000006</v>
      </c>
      <c r="H74" s="23" t="s">
        <v>332</v>
      </c>
    </row>
    <row r="75" spans="1:8">
      <c r="A75" s="9" t="s">
        <v>346</v>
      </c>
      <c r="B75" s="9" t="s">
        <v>404</v>
      </c>
      <c r="C75" s="11">
        <v>-12338.73</v>
      </c>
      <c r="D75" s="11">
        <v>-17174.490000000002</v>
      </c>
      <c r="E75" s="11">
        <v>-21464.57</v>
      </c>
      <c r="F75" s="11">
        <v>-26759.61</v>
      </c>
      <c r="G75" s="12">
        <f t="shared" si="2"/>
        <v>-77737.399999999994</v>
      </c>
      <c r="H75" s="23" t="s">
        <v>332</v>
      </c>
    </row>
    <row r="76" spans="1:8">
      <c r="A76" s="9" t="s">
        <v>347</v>
      </c>
      <c r="B76" s="9" t="s">
        <v>401</v>
      </c>
      <c r="C76" s="11">
        <v>117333.14</v>
      </c>
      <c r="D76" s="11">
        <v>119392.76</v>
      </c>
      <c r="E76" s="11">
        <v>45450.34</v>
      </c>
      <c r="F76" s="11">
        <v>87083.67</v>
      </c>
      <c r="G76" s="12">
        <f t="shared" si="2"/>
        <v>369259.91</v>
      </c>
      <c r="H76" s="23" t="s">
        <v>332</v>
      </c>
    </row>
    <row r="77" spans="1:8">
      <c r="A77" s="9" t="s">
        <v>347</v>
      </c>
      <c r="B77" s="9" t="s">
        <v>166</v>
      </c>
      <c r="C77" s="11">
        <v>6668.14</v>
      </c>
      <c r="D77" s="11">
        <v>10403.49</v>
      </c>
      <c r="E77" s="11">
        <v>17040.2</v>
      </c>
      <c r="F77" s="11">
        <v>40908.379999999997</v>
      </c>
      <c r="G77" s="12">
        <f t="shared" si="2"/>
        <v>75020.209999999992</v>
      </c>
      <c r="H77" s="23" t="s">
        <v>332</v>
      </c>
    </row>
    <row r="78" spans="1:8">
      <c r="A78" s="9" t="s">
        <v>347</v>
      </c>
      <c r="B78" s="9" t="s">
        <v>402</v>
      </c>
      <c r="C78" s="11">
        <v>0</v>
      </c>
      <c r="D78" s="11">
        <v>0</v>
      </c>
      <c r="E78" s="11">
        <v>24662.240000000002</v>
      </c>
      <c r="F78" s="11">
        <v>12790.41</v>
      </c>
      <c r="G78" s="12">
        <f t="shared" si="2"/>
        <v>37452.65</v>
      </c>
      <c r="H78" s="23" t="s">
        <v>332</v>
      </c>
    </row>
    <row r="79" spans="1:8">
      <c r="A79" s="9" t="s">
        <v>347</v>
      </c>
      <c r="B79" s="9" t="s">
        <v>403</v>
      </c>
      <c r="C79" s="11">
        <v>-7938.82</v>
      </c>
      <c r="D79" s="11">
        <v>0</v>
      </c>
      <c r="E79" s="11">
        <v>0</v>
      </c>
      <c r="F79" s="11">
        <v>0</v>
      </c>
      <c r="G79" s="12">
        <f t="shared" si="2"/>
        <v>-7938.82</v>
      </c>
      <c r="H79" s="23" t="s">
        <v>332</v>
      </c>
    </row>
    <row r="80" spans="1:8">
      <c r="A80" s="9" t="s">
        <v>347</v>
      </c>
      <c r="B80" s="9" t="s">
        <v>404</v>
      </c>
      <c r="C80" s="11">
        <v>-7721.17</v>
      </c>
      <c r="D80" s="11">
        <v>-36433.18</v>
      </c>
      <c r="E80" s="11">
        <v>0</v>
      </c>
      <c r="F80" s="11">
        <v>-12521.85</v>
      </c>
      <c r="G80" s="12">
        <f t="shared" si="2"/>
        <v>-56676.2</v>
      </c>
      <c r="H80" s="23" t="s">
        <v>332</v>
      </c>
    </row>
    <row r="83" spans="1:7" ht="105">
      <c r="A83" s="25" t="s">
        <v>407</v>
      </c>
    </row>
    <row r="84" spans="1:7" ht="30" customHeight="1">
      <c r="A84" s="33" t="s">
        <v>394</v>
      </c>
      <c r="B84" s="33" t="s">
        <v>395</v>
      </c>
      <c r="C84" s="33" t="s">
        <v>396</v>
      </c>
      <c r="D84" s="33" t="s">
        <v>397</v>
      </c>
      <c r="E84" s="33" t="s">
        <v>398</v>
      </c>
      <c r="F84" s="33" t="s">
        <v>399</v>
      </c>
      <c r="G84" s="33" t="s">
        <v>400</v>
      </c>
    </row>
    <row r="85" spans="1:7">
      <c r="A85" s="9" t="s">
        <v>281</v>
      </c>
      <c r="B85" s="9" t="s">
        <v>401</v>
      </c>
      <c r="C85" s="11">
        <v>361660.14</v>
      </c>
      <c r="D85" s="11">
        <v>276623.89</v>
      </c>
      <c r="E85" s="11">
        <v>235722.56</v>
      </c>
      <c r="F85" s="11">
        <v>236783.07</v>
      </c>
      <c r="G85" s="12">
        <f t="shared" ref="G85:G119" si="3">SUM(C85:F85)</f>
        <v>1110789.6600000001</v>
      </c>
    </row>
    <row r="86" spans="1:7">
      <c r="A86" s="9" t="s">
        <v>281</v>
      </c>
      <c r="B86" s="9" t="s">
        <v>408</v>
      </c>
      <c r="C86" s="11">
        <v>61627</v>
      </c>
      <c r="D86" s="11">
        <v>56203.82</v>
      </c>
      <c r="E86" s="11">
        <v>66679.08</v>
      </c>
      <c r="F86" s="11">
        <v>99294.399999999994</v>
      </c>
      <c r="G86" s="12">
        <f t="shared" si="3"/>
        <v>283804.30000000005</v>
      </c>
    </row>
    <row r="87" spans="1:7">
      <c r="A87" s="9" t="s">
        <v>281</v>
      </c>
      <c r="B87" s="9" t="s">
        <v>166</v>
      </c>
      <c r="C87" s="11">
        <v>28743.29</v>
      </c>
      <c r="D87" s="11">
        <v>54976.99</v>
      </c>
      <c r="E87" s="11">
        <v>40498</v>
      </c>
      <c r="F87" s="11">
        <v>42374.66</v>
      </c>
      <c r="G87" s="12">
        <f t="shared" si="3"/>
        <v>166592.94</v>
      </c>
    </row>
    <row r="88" spans="1:7">
      <c r="A88" s="9" t="s">
        <v>281</v>
      </c>
      <c r="B88" s="9" t="s">
        <v>402</v>
      </c>
      <c r="C88" s="11">
        <v>0</v>
      </c>
      <c r="D88" s="11">
        <v>0</v>
      </c>
      <c r="E88" s="11">
        <v>8377.74</v>
      </c>
      <c r="F88" s="11">
        <v>70008.479999999996</v>
      </c>
      <c r="G88" s="12">
        <f t="shared" si="3"/>
        <v>78386.22</v>
      </c>
    </row>
    <row r="89" spans="1:7">
      <c r="A89" s="9" t="s">
        <v>281</v>
      </c>
      <c r="B89" s="9" t="s">
        <v>403</v>
      </c>
      <c r="C89" s="11">
        <v>0</v>
      </c>
      <c r="D89" s="11">
        <v>0</v>
      </c>
      <c r="E89" s="11">
        <v>-9276</v>
      </c>
      <c r="F89" s="11">
        <v>-8033</v>
      </c>
      <c r="G89" s="12">
        <f t="shared" si="3"/>
        <v>-17309</v>
      </c>
    </row>
    <row r="90" spans="1:7">
      <c r="A90" s="9" t="s">
        <v>281</v>
      </c>
      <c r="B90" s="9" t="s">
        <v>409</v>
      </c>
      <c r="C90" s="11">
        <v>-70245.25</v>
      </c>
      <c r="D90" s="11">
        <v>-169920</v>
      </c>
      <c r="E90" s="11">
        <v>-91396.45</v>
      </c>
      <c r="F90" s="11">
        <v>-190850.5</v>
      </c>
      <c r="G90" s="12">
        <f t="shared" si="3"/>
        <v>-522412.2</v>
      </c>
    </row>
    <row r="91" spans="1:7">
      <c r="A91" s="9" t="s">
        <v>281</v>
      </c>
      <c r="B91" s="9" t="s">
        <v>404</v>
      </c>
      <c r="C91" s="11">
        <v>-15436.94</v>
      </c>
      <c r="D91" s="11">
        <v>-48892.5</v>
      </c>
      <c r="E91" s="11">
        <v>-75428.97</v>
      </c>
      <c r="F91" s="11">
        <v>-20077.72</v>
      </c>
      <c r="G91" s="12">
        <f t="shared" si="3"/>
        <v>-159836.13</v>
      </c>
    </row>
    <row r="92" spans="1:7">
      <c r="A92" s="9" t="s">
        <v>282</v>
      </c>
      <c r="B92" s="9" t="s">
        <v>401</v>
      </c>
      <c r="C92" s="11">
        <v>313718.24</v>
      </c>
      <c r="D92" s="11">
        <v>423630.48</v>
      </c>
      <c r="E92" s="11">
        <v>229967.08</v>
      </c>
      <c r="F92" s="11">
        <v>245971.43</v>
      </c>
      <c r="G92" s="12">
        <f t="shared" si="3"/>
        <v>1213287.23</v>
      </c>
    </row>
    <row r="93" spans="1:7">
      <c r="A93" s="9" t="s">
        <v>282</v>
      </c>
      <c r="B93" s="9" t="s">
        <v>408</v>
      </c>
      <c r="C93" s="11">
        <v>21669.32</v>
      </c>
      <c r="D93" s="11">
        <v>71925.440000000002</v>
      </c>
      <c r="E93" s="11">
        <v>61171.11</v>
      </c>
      <c r="F93" s="11">
        <v>94857.91</v>
      </c>
      <c r="G93" s="12">
        <f t="shared" si="3"/>
        <v>249623.78</v>
      </c>
    </row>
    <row r="94" spans="1:7">
      <c r="A94" s="9" t="s">
        <v>282</v>
      </c>
      <c r="B94" s="9" t="s">
        <v>166</v>
      </c>
      <c r="C94" s="11">
        <v>34120.730000000003</v>
      </c>
      <c r="D94" s="11">
        <v>43599.93</v>
      </c>
      <c r="E94" s="11">
        <v>37287.31</v>
      </c>
      <c r="F94" s="11">
        <v>40739.49</v>
      </c>
      <c r="G94" s="12">
        <f t="shared" si="3"/>
        <v>155747.46</v>
      </c>
    </row>
    <row r="95" spans="1:7">
      <c r="A95" s="9" t="s">
        <v>282</v>
      </c>
      <c r="B95" s="9" t="s">
        <v>402</v>
      </c>
      <c r="C95" s="11">
        <v>9940.81</v>
      </c>
      <c r="D95" s="11">
        <v>10175.549999999999</v>
      </c>
      <c r="E95" s="11">
        <v>12168</v>
      </c>
      <c r="F95" s="11">
        <v>33983.339999999997</v>
      </c>
      <c r="G95" s="12">
        <f t="shared" si="3"/>
        <v>66267.7</v>
      </c>
    </row>
    <row r="96" spans="1:7">
      <c r="A96" s="9" t="s">
        <v>282</v>
      </c>
      <c r="B96" s="9" t="s">
        <v>403</v>
      </c>
      <c r="C96" s="11">
        <v>0</v>
      </c>
      <c r="D96" s="11">
        <v>0</v>
      </c>
      <c r="E96" s="11">
        <v>0</v>
      </c>
      <c r="F96" s="11">
        <v>0</v>
      </c>
      <c r="G96" s="12">
        <f t="shared" si="3"/>
        <v>0</v>
      </c>
    </row>
    <row r="97" spans="1:7">
      <c r="A97" s="9" t="s">
        <v>282</v>
      </c>
      <c r="B97" s="9" t="s">
        <v>409</v>
      </c>
      <c r="C97" s="11">
        <v>0</v>
      </c>
      <c r="D97" s="11">
        <v>-24043.73</v>
      </c>
      <c r="E97" s="11">
        <v>-13388.47</v>
      </c>
      <c r="F97" s="11">
        <v>-33382.51</v>
      </c>
      <c r="G97" s="12">
        <f t="shared" si="3"/>
        <v>-70814.709999999992</v>
      </c>
    </row>
    <row r="98" spans="1:7">
      <c r="A98" s="9" t="s">
        <v>282</v>
      </c>
      <c r="B98" s="9" t="s">
        <v>404</v>
      </c>
      <c r="C98" s="11">
        <v>-45317.79</v>
      </c>
      <c r="D98" s="11">
        <v>-51069.08</v>
      </c>
      <c r="E98" s="11">
        <v>-42602.21</v>
      </c>
      <c r="F98" s="11">
        <v>-34592.04</v>
      </c>
      <c r="G98" s="12">
        <f t="shared" si="3"/>
        <v>-173581.12</v>
      </c>
    </row>
    <row r="99" spans="1:7">
      <c r="A99" s="9" t="s">
        <v>283</v>
      </c>
      <c r="B99" s="9" t="s">
        <v>401</v>
      </c>
      <c r="C99" s="11">
        <v>390221.07</v>
      </c>
      <c r="D99" s="11">
        <v>405791.92</v>
      </c>
      <c r="E99" s="11">
        <v>346698.21</v>
      </c>
      <c r="F99" s="11">
        <v>275774.88</v>
      </c>
      <c r="G99" s="12">
        <f t="shared" si="3"/>
        <v>1418486.08</v>
      </c>
    </row>
    <row r="100" spans="1:7">
      <c r="A100" s="9" t="s">
        <v>283</v>
      </c>
      <c r="B100" s="9" t="s">
        <v>408</v>
      </c>
      <c r="C100" s="11">
        <v>282655.57</v>
      </c>
      <c r="D100" s="11">
        <v>331711.58</v>
      </c>
      <c r="E100" s="11">
        <v>416273.42</v>
      </c>
      <c r="F100" s="11">
        <v>531937.04</v>
      </c>
      <c r="G100" s="12">
        <f t="shared" si="3"/>
        <v>1562577.61</v>
      </c>
    </row>
    <row r="101" spans="1:7">
      <c r="A101" s="9" t="s">
        <v>283</v>
      </c>
      <c r="B101" s="9" t="s">
        <v>166</v>
      </c>
      <c r="C101" s="11">
        <v>68608.679999999993</v>
      </c>
      <c r="D101" s="11">
        <v>57697.16</v>
      </c>
      <c r="E101" s="11">
        <v>88349.49</v>
      </c>
      <c r="F101" s="11">
        <v>123188.62</v>
      </c>
      <c r="G101" s="12">
        <f t="shared" si="3"/>
        <v>337843.95</v>
      </c>
    </row>
    <row r="102" spans="1:7">
      <c r="A102" s="9" t="s">
        <v>283</v>
      </c>
      <c r="B102" s="9" t="s">
        <v>402</v>
      </c>
      <c r="C102" s="11">
        <v>0</v>
      </c>
      <c r="D102" s="11">
        <v>42847</v>
      </c>
      <c r="E102" s="11">
        <v>46886.400000000001</v>
      </c>
      <c r="F102" s="11">
        <v>26048.959999999999</v>
      </c>
      <c r="G102" s="12">
        <f t="shared" si="3"/>
        <v>115782.35999999999</v>
      </c>
    </row>
    <row r="103" spans="1:7">
      <c r="A103" s="9" t="s">
        <v>283</v>
      </c>
      <c r="B103" s="9" t="s">
        <v>403</v>
      </c>
      <c r="C103" s="11">
        <v>0</v>
      </c>
      <c r="D103" s="11">
        <v>-12446.34</v>
      </c>
      <c r="E103" s="11">
        <v>-14044</v>
      </c>
      <c r="F103" s="11">
        <v>-14100</v>
      </c>
      <c r="G103" s="12">
        <f t="shared" si="3"/>
        <v>-40590.339999999997</v>
      </c>
    </row>
    <row r="104" spans="1:7">
      <c r="A104" s="9" t="s">
        <v>283</v>
      </c>
      <c r="B104" s="9" t="s">
        <v>409</v>
      </c>
      <c r="C104" s="11">
        <v>-32095.46</v>
      </c>
      <c r="D104" s="11">
        <v>-11837.59</v>
      </c>
      <c r="E104" s="11">
        <v>-16329.58</v>
      </c>
      <c r="F104" s="11">
        <v>-78806.539999999994</v>
      </c>
      <c r="G104" s="12">
        <f t="shared" si="3"/>
        <v>-139069.16999999998</v>
      </c>
    </row>
    <row r="105" spans="1:7">
      <c r="A105" s="9" t="s">
        <v>283</v>
      </c>
      <c r="B105" s="9" t="s">
        <v>404</v>
      </c>
      <c r="C105" s="11">
        <v>-64332.49</v>
      </c>
      <c r="D105" s="11">
        <v>-63367.13</v>
      </c>
      <c r="E105" s="11">
        <v>-56611.08</v>
      </c>
      <c r="F105" s="11">
        <v>-120564.7</v>
      </c>
      <c r="G105" s="12">
        <f t="shared" si="3"/>
        <v>-304875.40000000002</v>
      </c>
    </row>
    <row r="106" spans="1:7">
      <c r="A106" s="9" t="s">
        <v>284</v>
      </c>
      <c r="B106" s="9" t="s">
        <v>401</v>
      </c>
      <c r="C106" s="11">
        <v>424496.14</v>
      </c>
      <c r="D106" s="11">
        <v>444489.14</v>
      </c>
      <c r="E106" s="11">
        <v>301949.7</v>
      </c>
      <c r="F106" s="11">
        <v>428783.13</v>
      </c>
      <c r="G106" s="12">
        <f t="shared" si="3"/>
        <v>1599718.1099999999</v>
      </c>
    </row>
    <row r="107" spans="1:7">
      <c r="A107" s="9" t="s">
        <v>284</v>
      </c>
      <c r="B107" s="9" t="s">
        <v>408</v>
      </c>
      <c r="C107" s="11">
        <v>109294.29</v>
      </c>
      <c r="D107" s="11">
        <v>76584.5</v>
      </c>
      <c r="E107" s="11">
        <v>145107.94</v>
      </c>
      <c r="F107" s="11">
        <v>142118.59</v>
      </c>
      <c r="G107" s="12">
        <f t="shared" si="3"/>
        <v>473105.31999999995</v>
      </c>
    </row>
    <row r="108" spans="1:7">
      <c r="A108" s="9" t="s">
        <v>284</v>
      </c>
      <c r="B108" s="9" t="s">
        <v>166</v>
      </c>
      <c r="C108" s="11">
        <v>49084.88</v>
      </c>
      <c r="D108" s="11">
        <v>48732.31</v>
      </c>
      <c r="E108" s="11">
        <v>70198.16</v>
      </c>
      <c r="F108" s="11">
        <v>79773.789999999994</v>
      </c>
      <c r="G108" s="12">
        <f t="shared" si="3"/>
        <v>247789.14</v>
      </c>
    </row>
    <row r="109" spans="1:7">
      <c r="A109" s="9" t="s">
        <v>284</v>
      </c>
      <c r="B109" s="9" t="s">
        <v>402</v>
      </c>
      <c r="C109" s="11">
        <v>11546.91</v>
      </c>
      <c r="D109" s="11">
        <v>38094.32</v>
      </c>
      <c r="E109" s="11">
        <v>38443.1</v>
      </c>
      <c r="F109" s="11">
        <v>0</v>
      </c>
      <c r="G109" s="12">
        <f t="shared" si="3"/>
        <v>88084.329999999987</v>
      </c>
    </row>
    <row r="110" spans="1:7">
      <c r="A110" s="9" t="s">
        <v>284</v>
      </c>
      <c r="B110" s="9" t="s">
        <v>403</v>
      </c>
      <c r="C110" s="11">
        <v>0</v>
      </c>
      <c r="D110" s="11">
        <v>0</v>
      </c>
      <c r="E110" s="11">
        <v>0</v>
      </c>
      <c r="F110" s="11">
        <v>0</v>
      </c>
      <c r="G110" s="12">
        <f t="shared" si="3"/>
        <v>0</v>
      </c>
    </row>
    <row r="111" spans="1:7">
      <c r="A111" s="9" t="s">
        <v>284</v>
      </c>
      <c r="B111" s="9" t="s">
        <v>409</v>
      </c>
      <c r="C111" s="11">
        <v>-18192</v>
      </c>
      <c r="D111" s="11">
        <v>-124522.43</v>
      </c>
      <c r="E111" s="11">
        <v>-54862.07</v>
      </c>
      <c r="F111" s="11">
        <v>-86344.14</v>
      </c>
      <c r="G111" s="12">
        <f t="shared" si="3"/>
        <v>-283920.64000000001</v>
      </c>
    </row>
    <row r="112" spans="1:7">
      <c r="A112" s="9" t="s">
        <v>284</v>
      </c>
      <c r="B112" s="9" t="s">
        <v>404</v>
      </c>
      <c r="C112" s="11">
        <v>-58600.81</v>
      </c>
      <c r="D112" s="11">
        <v>-53753.39</v>
      </c>
      <c r="E112" s="11">
        <v>-92987.06</v>
      </c>
      <c r="F112" s="11">
        <v>-85563.01</v>
      </c>
      <c r="G112" s="12">
        <f t="shared" si="3"/>
        <v>-290904.27</v>
      </c>
    </row>
    <row r="113" spans="1:9">
      <c r="A113" s="9" t="s">
        <v>285</v>
      </c>
      <c r="B113" s="9" t="s">
        <v>401</v>
      </c>
      <c r="C113" s="11">
        <v>596007.07999999996</v>
      </c>
      <c r="D113" s="11">
        <v>517653.27</v>
      </c>
      <c r="E113" s="11">
        <v>566143.04</v>
      </c>
      <c r="F113" s="11">
        <v>374170.59</v>
      </c>
      <c r="G113" s="12">
        <f t="shared" si="3"/>
        <v>2053973.9800000002</v>
      </c>
    </row>
    <row r="114" spans="1:9">
      <c r="A114" s="9" t="s">
        <v>285</v>
      </c>
      <c r="B114" s="9" t="s">
        <v>408</v>
      </c>
      <c r="C114" s="11">
        <v>32969.4</v>
      </c>
      <c r="D114" s="11">
        <v>142779.67000000001</v>
      </c>
      <c r="E114" s="11">
        <v>169079.88</v>
      </c>
      <c r="F114" s="11">
        <v>275728.81</v>
      </c>
      <c r="G114" s="12">
        <f t="shared" si="3"/>
        <v>620557.76</v>
      </c>
    </row>
    <row r="115" spans="1:9">
      <c r="A115" s="9" t="s">
        <v>285</v>
      </c>
      <c r="B115" s="9" t="s">
        <v>166</v>
      </c>
      <c r="C115" s="11">
        <v>78154.8</v>
      </c>
      <c r="D115" s="11">
        <v>64004.15</v>
      </c>
      <c r="E115" s="11">
        <v>71033.009999999995</v>
      </c>
      <c r="F115" s="11">
        <v>67662.84</v>
      </c>
      <c r="G115" s="12">
        <f t="shared" si="3"/>
        <v>280854.80000000005</v>
      </c>
    </row>
    <row r="116" spans="1:9">
      <c r="A116" s="9" t="s">
        <v>285</v>
      </c>
      <c r="B116" s="9" t="s">
        <v>402</v>
      </c>
      <c r="C116" s="11">
        <v>0</v>
      </c>
      <c r="D116" s="11">
        <v>37100.339999999997</v>
      </c>
      <c r="E116" s="11">
        <v>15554.93</v>
      </c>
      <c r="F116" s="11">
        <v>43776.05</v>
      </c>
      <c r="G116" s="12">
        <f t="shared" si="3"/>
        <v>96431.32</v>
      </c>
    </row>
    <row r="117" spans="1:9">
      <c r="A117" s="9" t="s">
        <v>285</v>
      </c>
      <c r="B117" s="9" t="s">
        <v>403</v>
      </c>
      <c r="C117" s="11">
        <v>-21792</v>
      </c>
      <c r="D117" s="11">
        <v>-19611.2</v>
      </c>
      <c r="E117" s="11">
        <v>0</v>
      </c>
      <c r="F117" s="11">
        <v>-14105.79</v>
      </c>
      <c r="G117" s="12">
        <f t="shared" si="3"/>
        <v>-55508.99</v>
      </c>
    </row>
    <row r="118" spans="1:9">
      <c r="A118" s="9" t="s">
        <v>285</v>
      </c>
      <c r="B118" s="9" t="s">
        <v>409</v>
      </c>
      <c r="C118" s="11">
        <v>-89269.440000000002</v>
      </c>
      <c r="D118" s="11">
        <v>-83824.37</v>
      </c>
      <c r="E118" s="11">
        <v>-125703.01</v>
      </c>
      <c r="F118" s="11">
        <v>-88172.28</v>
      </c>
      <c r="G118" s="12">
        <f t="shared" si="3"/>
        <v>-386969.1</v>
      </c>
    </row>
    <row r="119" spans="1:9">
      <c r="A119" s="9" t="s">
        <v>285</v>
      </c>
      <c r="B119" s="9" t="s">
        <v>404</v>
      </c>
      <c r="C119" s="11">
        <v>-95026.17</v>
      </c>
      <c r="D119" s="11">
        <v>-46189.21</v>
      </c>
      <c r="E119" s="11">
        <v>-35115.910000000003</v>
      </c>
      <c r="F119" s="11">
        <v>-20008.68</v>
      </c>
      <c r="G119" s="12">
        <f t="shared" si="3"/>
        <v>-196339.97</v>
      </c>
    </row>
    <row r="122" spans="1:9" ht="39.4">
      <c r="A122" s="25" t="s">
        <v>410</v>
      </c>
    </row>
    <row r="123" spans="1:9" ht="30" customHeight="1">
      <c r="A123" s="33"/>
      <c r="B123" s="33" t="s">
        <v>395</v>
      </c>
      <c r="C123" s="33" t="s">
        <v>396</v>
      </c>
      <c r="D123" s="33" t="s">
        <v>397</v>
      </c>
      <c r="E123" s="33" t="s">
        <v>398</v>
      </c>
      <c r="F123" s="33" t="s">
        <v>399</v>
      </c>
      <c r="G123" s="33" t="s">
        <v>400</v>
      </c>
      <c r="H123" s="33" t="s">
        <v>224</v>
      </c>
      <c r="I123" s="33" t="s">
        <v>295</v>
      </c>
    </row>
    <row r="124" spans="1:9">
      <c r="A124" s="9" t="s">
        <v>265</v>
      </c>
      <c r="B124" s="9" t="s">
        <v>401</v>
      </c>
      <c r="C124" s="11">
        <v>2086102.67</v>
      </c>
      <c r="D124" s="11">
        <v>2068188.7</v>
      </c>
      <c r="E124" s="11">
        <v>1680480.6</v>
      </c>
      <c r="F124" s="11">
        <v>1561483.1</v>
      </c>
      <c r="G124" s="12">
        <f t="shared" ref="G124:G131" si="4">SUM(C124:F124)</f>
        <v>7396255.0700000003</v>
      </c>
      <c r="H124" s="12">
        <f t="shared" ref="H124:H130" si="5">SUMIFS($G$85:$G$119,$B$85:$B$119,B124)</f>
        <v>7396255.0600000005</v>
      </c>
      <c r="I124" s="57">
        <f t="shared" ref="I124:I130" si="6">H124-G124</f>
        <v>-9.9999997764825821E-3</v>
      </c>
    </row>
    <row r="125" spans="1:9">
      <c r="A125" s="9" t="s">
        <v>265</v>
      </c>
      <c r="B125" s="9" t="s">
        <v>408</v>
      </c>
      <c r="C125" s="11">
        <v>508215.57</v>
      </c>
      <c r="D125" s="11">
        <v>679205.02</v>
      </c>
      <c r="E125" s="11">
        <v>858311.43</v>
      </c>
      <c r="F125" s="11">
        <v>1143936.75</v>
      </c>
      <c r="G125" s="12">
        <f t="shared" si="4"/>
        <v>3189668.77</v>
      </c>
      <c r="H125" s="12">
        <f t="shared" si="5"/>
        <v>3189668.7700000005</v>
      </c>
      <c r="I125" s="57">
        <f t="shared" si="6"/>
        <v>0</v>
      </c>
    </row>
    <row r="126" spans="1:9">
      <c r="A126" s="9" t="s">
        <v>265</v>
      </c>
      <c r="B126" s="9" t="s">
        <v>166</v>
      </c>
      <c r="C126" s="11">
        <v>258712.38</v>
      </c>
      <c r="D126" s="11">
        <v>269010.55</v>
      </c>
      <c r="E126" s="11">
        <v>307365.96999999997</v>
      </c>
      <c r="F126" s="11">
        <v>353739.41</v>
      </c>
      <c r="G126" s="12">
        <f t="shared" si="4"/>
        <v>1188828.3099999998</v>
      </c>
      <c r="H126" s="12">
        <f t="shared" si="5"/>
        <v>1188828.29</v>
      </c>
      <c r="I126" s="57">
        <f t="shared" si="6"/>
        <v>-1.9999999785795808E-2</v>
      </c>
    </row>
    <row r="127" spans="1:9">
      <c r="A127" s="9" t="s">
        <v>265</v>
      </c>
      <c r="B127" s="9" t="s">
        <v>402</v>
      </c>
      <c r="C127" s="11">
        <v>21487.73</v>
      </c>
      <c r="D127" s="11">
        <v>128217.22</v>
      </c>
      <c r="E127" s="11">
        <v>121430.16</v>
      </c>
      <c r="F127" s="11">
        <v>173816.83</v>
      </c>
      <c r="G127" s="12">
        <f t="shared" si="4"/>
        <v>444951.93999999994</v>
      </c>
      <c r="H127" s="12">
        <f t="shared" si="5"/>
        <v>444951.93</v>
      </c>
      <c r="I127" s="57">
        <f t="shared" si="6"/>
        <v>-9.9999999511055648E-3</v>
      </c>
    </row>
    <row r="128" spans="1:9">
      <c r="A128" s="9" t="s">
        <v>265</v>
      </c>
      <c r="B128" s="9" t="s">
        <v>403</v>
      </c>
      <c r="C128" s="11">
        <v>-21792</v>
      </c>
      <c r="D128" s="11">
        <v>-32057.53</v>
      </c>
      <c r="E128" s="11">
        <v>-23320</v>
      </c>
      <c r="F128" s="11">
        <v>-36238.79</v>
      </c>
      <c r="G128" s="12">
        <f t="shared" si="4"/>
        <v>-113408.32000000001</v>
      </c>
      <c r="H128" s="12">
        <f t="shared" si="5"/>
        <v>-113408.32999999999</v>
      </c>
      <c r="I128" s="57">
        <f t="shared" si="6"/>
        <v>-9.9999999802093953E-3</v>
      </c>
    </row>
    <row r="129" spans="1:9">
      <c r="A129" s="9" t="s">
        <v>265</v>
      </c>
      <c r="B129" s="9" t="s">
        <v>409</v>
      </c>
      <c r="C129" s="11">
        <v>-209802.15</v>
      </c>
      <c r="D129" s="11">
        <v>-414148.12</v>
      </c>
      <c r="E129" s="11">
        <v>-301679.58</v>
      </c>
      <c r="F129" s="11">
        <v>-477555.97</v>
      </c>
      <c r="G129" s="12">
        <f t="shared" si="4"/>
        <v>-1403185.82</v>
      </c>
      <c r="H129" s="12">
        <f t="shared" si="5"/>
        <v>-1403185.82</v>
      </c>
      <c r="I129" s="57">
        <f t="shared" si="6"/>
        <v>0</v>
      </c>
    </row>
    <row r="130" spans="1:9">
      <c r="A130" s="9" t="s">
        <v>265</v>
      </c>
      <c r="B130" s="9" t="s">
        <v>404</v>
      </c>
      <c r="C130" s="11">
        <v>-278714.2</v>
      </c>
      <c r="D130" s="11">
        <v>-263271.32</v>
      </c>
      <c r="E130" s="11">
        <v>-302745.24</v>
      </c>
      <c r="F130" s="11">
        <v>-280806.14</v>
      </c>
      <c r="G130" s="12">
        <f t="shared" si="4"/>
        <v>-1125536.8999999999</v>
      </c>
      <c r="H130" s="12">
        <f t="shared" si="5"/>
        <v>-1125536.8900000001</v>
      </c>
      <c r="I130" s="57">
        <f t="shared" si="6"/>
        <v>9.9999997764825821E-3</v>
      </c>
    </row>
    <row r="131" spans="1:9">
      <c r="A131" s="9" t="s">
        <v>265</v>
      </c>
      <c r="B131" s="9" t="s">
        <v>411</v>
      </c>
      <c r="C131" s="11">
        <v>-73419.360000000001</v>
      </c>
      <c r="D131" s="11">
        <v>-85147.69</v>
      </c>
      <c r="E131" s="11">
        <v>-74469.58</v>
      </c>
      <c r="F131" s="11">
        <v>-24791.5</v>
      </c>
      <c r="G131" s="12">
        <f t="shared" si="4"/>
        <v>-257828.13</v>
      </c>
    </row>
    <row r="134" spans="1:9" ht="39.4">
      <c r="A134" s="25" t="s">
        <v>412</v>
      </c>
    </row>
    <row r="135" spans="1:9" ht="30" customHeight="1">
      <c r="A135" s="33" t="s">
        <v>394</v>
      </c>
      <c r="B135" s="33" t="s">
        <v>413</v>
      </c>
      <c r="C135" s="33" t="s">
        <v>396</v>
      </c>
      <c r="D135" s="33" t="s">
        <v>397</v>
      </c>
      <c r="E135" s="33" t="s">
        <v>398</v>
      </c>
      <c r="F135" s="33" t="s">
        <v>399</v>
      </c>
    </row>
    <row r="136" spans="1:9">
      <c r="A136" s="9" t="s">
        <v>184</v>
      </c>
      <c r="B136" s="64">
        <v>145</v>
      </c>
      <c r="C136" s="64">
        <v>180</v>
      </c>
      <c r="D136" s="64">
        <v>214</v>
      </c>
      <c r="E136" s="64">
        <v>230</v>
      </c>
      <c r="F136" s="64">
        <v>254</v>
      </c>
    </row>
    <row r="137" spans="1:9">
      <c r="A137" s="9" t="s">
        <v>185</v>
      </c>
      <c r="B137" s="64">
        <v>227</v>
      </c>
      <c r="C137" s="64">
        <v>259</v>
      </c>
      <c r="D137" s="64">
        <v>299</v>
      </c>
      <c r="E137" s="64">
        <v>327</v>
      </c>
      <c r="F137" s="64">
        <v>356</v>
      </c>
    </row>
    <row r="138" spans="1:9">
      <c r="A138" s="9" t="s">
        <v>186</v>
      </c>
      <c r="B138" s="64">
        <v>389</v>
      </c>
      <c r="C138" s="64">
        <v>449</v>
      </c>
      <c r="D138" s="64">
        <v>506</v>
      </c>
      <c r="E138" s="64">
        <v>553</v>
      </c>
      <c r="F138" s="64">
        <v>588</v>
      </c>
    </row>
    <row r="139" spans="1:9">
      <c r="A139" s="25" t="s">
        <v>265</v>
      </c>
      <c r="B139" s="65">
        <f>SUM(B136:B138)</f>
        <v>761</v>
      </c>
      <c r="C139" s="65">
        <f>SUM(C136:C138)</f>
        <v>888</v>
      </c>
      <c r="D139" s="65">
        <f>SUM(D136:D138)</f>
        <v>1019</v>
      </c>
      <c r="E139" s="65">
        <f>SUM(E136:E138)</f>
        <v>1110</v>
      </c>
      <c r="F139" s="65">
        <f>SUM(F136:F138)</f>
        <v>1198</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Lisez-moi</vt:lpstr>
      <vt:lpstr>Hypothèses</vt:lpstr>
      <vt:lpstr>Synthèse</vt:lpstr>
      <vt:lpstr>Sensibilités</vt:lpstr>
      <vt:lpstr>Segments</vt:lpstr>
      <vt:lpstr>Contrôles</vt:lpstr>
      <vt:lpstr>Projection</vt:lpstr>
      <vt:lpstr>Données ARR</vt:lpstr>
      <vt:lpstr>Données segments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Vincent Gouedard</cp:lastModifiedBy>
  <cp:revision>1</cp:revision>
  <dcterms:created xsi:type="dcterms:W3CDTF">2026-09-07T17:36:24Z</dcterms:created>
  <dcterms:modified xsi:type="dcterms:W3CDTF">2026-09-07T17:41:48Z</dcterms:modified>
  <dc:language>en-US</dc:language>
</cp:coreProperties>
</file>